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ecom.sharepoint.com/teams/corporate-ir-results/Results Materials/Full Year Results FY2021/Final Versions for Upload/"/>
    </mc:Choice>
  </mc:AlternateContent>
  <xr:revisionPtr revIDLastSave="107" documentId="8_{9A687F4B-1F4B-47FA-A1A5-7208DE16F6C1}" xr6:coauthVersionLast="45" xr6:coauthVersionMax="46" xr10:uidLastSave="{90A0346E-6E75-4CA2-9FBB-1991F203095C}"/>
  <bookViews>
    <workbookView xWindow="-19310" yWindow="6070" windowWidth="19420" windowHeight="10420" xr2:uid="{7FA9E8DC-A1EB-4F5C-A044-7C5376FC11CE}"/>
  </bookViews>
  <sheets>
    <sheet name="Thermal Capacity (MW)" sheetId="2" r:id="rId1"/>
    <sheet name="Generation (GWh)" sheetId="1" r:id="rId2"/>
    <sheet name="GB Cap Mech Payments (£m)" sheetId="4" r:id="rId3"/>
  </sheets>
  <definedNames>
    <definedName name="\M" localSheetId="2">#REF!</definedName>
    <definedName name="\M" localSheetId="1">#REF!</definedName>
    <definedName name="\M">#REF!</definedName>
    <definedName name="_xlnm.Print_Area" localSheetId="2">'GB Cap Mech Payments (£m)'!$B$1:$L$79</definedName>
    <definedName name="_xlnm.Print_Area" localSheetId="1">'Generation (GWh)'!$A$1:$H$40</definedName>
    <definedName name="_xlnm.Print_Area" localSheetId="0">'Thermal Capacity (MW)'!$A$1:$N$61</definedName>
    <definedName name="Z_0C38E538_974B_4A61_B3B3_B208E1C4473A_.wvu.PrintArea" localSheetId="1" hidden="1">'Generation (GWh)'!$B$2:$G$21</definedName>
    <definedName name="Z_16698397_7DC0_4ECC_A466_AF14BF75CE05_.wvu.Cols" localSheetId="1" hidden="1">'Generation (GWh)'!#REF!,'Generation (GWh)'!#REF!,'Generation (GWh)'!#REF!</definedName>
    <definedName name="Z_2F42BBF3_7C48_4E86_A3EB_0CA93B4D9BAE_.wvu.PrintArea" localSheetId="1" hidden="1">'Generation (GWh)'!$B$2:$G$21</definedName>
    <definedName name="Z_39C5EBEA_7BD9_44C6_A5A4_86DD4F3F9254_.wvu.PrintArea" localSheetId="1" hidden="1">'Generation (GWh)'!$B$2:$G$21</definedName>
    <definedName name="Z_3C138B24_BBC4_4D43_B3F7_EC9EBE12CEC0_.wvu.Cols" localSheetId="1" hidden="1">'Generation (GWh)'!#REF!,'Generation (GWh)'!#REF!,'Generation (GWh)'!#REF!</definedName>
    <definedName name="Z_483FB79C_9E75_4132_B903_9637F8FD12D9_.wvu.PrintArea" localSheetId="1" hidden="1">'Generation (GWh)'!$B$2:$G$21</definedName>
    <definedName name="Z_51A2EF6C_28BC_4170_A855_C6AB509C036F_.wvu.Cols" localSheetId="1" hidden="1">'Generation (GWh)'!#REF!,'Generation (GWh)'!#REF!,'Generation (GWh)'!#REF!</definedName>
    <definedName name="Z_6537CF7E_A369_488B_93B5_F389D81E175E_.wvu.Cols" localSheetId="1" hidden="1">'Generation (GWh)'!#REF!,'Generation (GWh)'!#REF!,'Generation (GWh)'!#REF!</definedName>
    <definedName name="Z_77A39290_3DC1_4291_9027_989EED6D435A_.wvu.Cols" localSheetId="1" hidden="1">'Generation (GWh)'!#REF!,'Generation (GWh)'!#REF!,'Generation (GWh)'!#REF!</definedName>
    <definedName name="Z_82FBA84F_AA2D_4FD4_A51B_CCF26BA3F301_.wvu.PrintArea" localSheetId="1" hidden="1">'Generation (GWh)'!$B$2:$G$21</definedName>
    <definedName name="Z_89F7BA78_03EF_4CF8_9200_C4B9A67A1161_.wvu.PrintArea" localSheetId="1" hidden="1">'Generation (GWh)'!$B$2:$G$21</definedName>
    <definedName name="Z_BDADCEA1_0138_4CD3_AFC1_DED1232BCBD6_.wvu.Cols" localSheetId="1" hidden="1">'Generation (GWh)'!#REF!,'Generation (GWh)'!#REF!,'Generation (GWh)'!#REF!</definedName>
    <definedName name="Z_C391008E_4F95_479A_8EC3_AC049BBB1040_.wvu.Cols" localSheetId="1" hidden="1">'Generation (GWh)'!#REF!,'Generation (GWh)'!#REF!,'Generation (GWh)'!#REF!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39" i="1" s="1"/>
  <c r="G6" i="4" l="1"/>
  <c r="I6" i="4" s="1"/>
  <c r="I7" i="4" s="1"/>
  <c r="H7" i="4"/>
  <c r="K11" i="4" s="1"/>
  <c r="I8" i="4"/>
  <c r="G9" i="4"/>
  <c r="J9" i="4" s="1"/>
  <c r="H9" i="4"/>
  <c r="K9" i="4" s="1"/>
  <c r="I9" i="4"/>
  <c r="I10" i="4"/>
  <c r="I11" i="4" s="1"/>
  <c r="G11" i="4"/>
  <c r="H11" i="4"/>
  <c r="G12" i="4"/>
  <c r="H12" i="4"/>
  <c r="I12" i="4"/>
  <c r="I14" i="4"/>
  <c r="I15" i="4" s="1"/>
  <c r="G15" i="4"/>
  <c r="G19" i="4" s="1"/>
  <c r="H15" i="4"/>
  <c r="K15" i="4" s="1"/>
  <c r="K19" i="4" s="1"/>
  <c r="G18" i="4"/>
  <c r="H18" i="4"/>
  <c r="I20" i="4"/>
  <c r="I24" i="4" s="1"/>
  <c r="G21" i="4"/>
  <c r="G25" i="4" s="1"/>
  <c r="H21" i="4"/>
  <c r="H25" i="4" s="1"/>
  <c r="G24" i="4"/>
  <c r="H24" i="4"/>
  <c r="G26" i="4"/>
  <c r="I26" i="4" s="1"/>
  <c r="G27" i="4"/>
  <c r="H27" i="4"/>
  <c r="K27" i="4"/>
  <c r="G28" i="4"/>
  <c r="G29" i="4" s="1"/>
  <c r="H29" i="4"/>
  <c r="K29" i="4" s="1"/>
  <c r="L29" i="4"/>
  <c r="G30" i="4"/>
  <c r="H30" i="4"/>
  <c r="H31" i="4"/>
  <c r="G32" i="4"/>
  <c r="I32" i="4" s="1"/>
  <c r="H33" i="4"/>
  <c r="K39" i="4" s="1"/>
  <c r="L35" i="4"/>
  <c r="G36" i="4"/>
  <c r="H36" i="4"/>
  <c r="H37" i="4"/>
  <c r="I38" i="4"/>
  <c r="I39" i="4" s="1"/>
  <c r="H39" i="4"/>
  <c r="G41" i="4"/>
  <c r="J41" i="4" s="1"/>
  <c r="D42" i="4"/>
  <c r="G42" i="4"/>
  <c r="D43" i="4"/>
  <c r="H44" i="4"/>
  <c r="H45" i="4"/>
  <c r="G46" i="4"/>
  <c r="I46" i="4"/>
  <c r="D47" i="4"/>
  <c r="I47" i="4" s="1"/>
  <c r="H47" i="4"/>
  <c r="K57" i="4" s="1"/>
  <c r="D50" i="4"/>
  <c r="G50" i="4"/>
  <c r="G51" i="4" s="1"/>
  <c r="I51" i="4"/>
  <c r="D52" i="4"/>
  <c r="G52" i="4"/>
  <c r="G54" i="4"/>
  <c r="H54" i="4"/>
  <c r="I54" i="4"/>
  <c r="H57" i="4"/>
  <c r="I57" i="4"/>
  <c r="G59" i="4"/>
  <c r="J59" i="4"/>
  <c r="G60" i="4"/>
  <c r="D61" i="4"/>
  <c r="I61" i="4"/>
  <c r="D62" i="4"/>
  <c r="D63" i="4" s="1"/>
  <c r="G62" i="4"/>
  <c r="G64" i="4"/>
  <c r="H64" i="4"/>
  <c r="I64" i="4"/>
  <c r="A70" i="4"/>
  <c r="A71" i="4" s="1"/>
  <c r="A72" i="4" s="1"/>
  <c r="A73" i="4" s="1"/>
  <c r="A74" i="4" s="1"/>
  <c r="A75" i="4" s="1"/>
  <c r="A76" i="4" s="1"/>
  <c r="A77" i="4" s="1"/>
  <c r="A78" i="4" s="1"/>
  <c r="H63" i="4" l="1"/>
  <c r="I63" i="4"/>
  <c r="I21" i="4"/>
  <c r="I25" i="4" s="1"/>
  <c r="I65" i="4"/>
  <c r="G43" i="4"/>
  <c r="G31" i="4"/>
  <c r="H19" i="4"/>
  <c r="G13" i="4"/>
  <c r="H13" i="4"/>
  <c r="G57" i="4"/>
  <c r="G47" i="4"/>
  <c r="G7" i="4"/>
  <c r="J7" i="4" s="1"/>
  <c r="G63" i="4"/>
  <c r="H65" i="4"/>
  <c r="L47" i="4"/>
  <c r="I33" i="4"/>
  <c r="I36" i="4"/>
  <c r="L21" i="4"/>
  <c r="L25" i="4" s="1"/>
  <c r="I19" i="4"/>
  <c r="L15" i="4"/>
  <c r="K13" i="4"/>
  <c r="J29" i="4"/>
  <c r="J35" i="4"/>
  <c r="I27" i="4"/>
  <c r="I30" i="4"/>
  <c r="L57" i="4"/>
  <c r="K45" i="4"/>
  <c r="I13" i="4"/>
  <c r="L17" i="4"/>
  <c r="J17" i="4" s="1"/>
  <c r="L11" i="4"/>
  <c r="J11" i="4" s="1"/>
  <c r="J13" i="4" s="1"/>
  <c r="L7" i="4"/>
  <c r="G61" i="4"/>
  <c r="G65" i="4" s="1"/>
  <c r="K47" i="4"/>
  <c r="I44" i="4"/>
  <c r="G38" i="4"/>
  <c r="K33" i="4"/>
  <c r="G33" i="4"/>
  <c r="G37" i="4" s="1"/>
  <c r="K31" i="4"/>
  <c r="K21" i="4"/>
  <c r="I18" i="4"/>
  <c r="L9" i="4"/>
  <c r="L13" i="4" s="1"/>
  <c r="K7" i="4"/>
  <c r="L61" i="4"/>
  <c r="J61" i="4" s="1"/>
  <c r="I43" i="4"/>
  <c r="I45" i="4" s="1"/>
  <c r="K35" i="4"/>
  <c r="D53" i="4"/>
  <c r="G53" i="4" s="1"/>
  <c r="G55" i="4" s="1"/>
  <c r="H44" i="2"/>
  <c r="H39" i="2"/>
  <c r="H35" i="2"/>
  <c r="G35" i="2"/>
  <c r="H31" i="2"/>
  <c r="G31" i="2"/>
  <c r="H25" i="2"/>
  <c r="G25" i="2"/>
  <c r="C12" i="2"/>
  <c r="C11" i="2"/>
  <c r="C6" i="2"/>
  <c r="C5" i="2"/>
  <c r="E36" i="1"/>
  <c r="G23" i="1"/>
  <c r="G18" i="1"/>
  <c r="F18" i="1"/>
  <c r="E18" i="1"/>
  <c r="G12" i="1"/>
  <c r="G20" i="1" s="1"/>
  <c r="F12" i="1"/>
  <c r="F20" i="1" s="1"/>
  <c r="F39" i="1" s="1"/>
  <c r="E12" i="1"/>
  <c r="E39" i="1" s="1"/>
  <c r="G39" i="1" l="1"/>
  <c r="J47" i="4"/>
  <c r="L19" i="4"/>
  <c r="J15" i="4"/>
  <c r="J19" i="4" s="1"/>
  <c r="L43" i="4"/>
  <c r="J43" i="4" s="1"/>
  <c r="K37" i="4"/>
  <c r="L51" i="4"/>
  <c r="J51" i="4" s="1"/>
  <c r="J21" i="4"/>
  <c r="J25" i="4" s="1"/>
  <c r="K25" i="4"/>
  <c r="G44" i="4"/>
  <c r="G39" i="4"/>
  <c r="G45" i="4" s="1"/>
  <c r="I37" i="4"/>
  <c r="L39" i="4"/>
  <c r="H53" i="4"/>
  <c r="I53" i="4"/>
  <c r="L27" i="4"/>
  <c r="I31" i="4"/>
  <c r="L33" i="4"/>
  <c r="L37" i="4" s="1"/>
  <c r="J57" i="4"/>
  <c r="J33" i="4" l="1"/>
  <c r="J37" i="4" s="1"/>
  <c r="K53" i="4"/>
  <c r="H55" i="4"/>
  <c r="K63" i="4"/>
  <c r="L45" i="4"/>
  <c r="J39" i="4"/>
  <c r="J45" i="4" s="1"/>
  <c r="L31" i="4"/>
  <c r="J27" i="4"/>
  <c r="J31" i="4" s="1"/>
  <c r="L53" i="4"/>
  <c r="L55" i="4" s="1"/>
  <c r="L63" i="4"/>
  <c r="L65" i="4" s="1"/>
  <c r="I55" i="4"/>
  <c r="J53" i="4" l="1"/>
  <c r="J55" i="4" s="1"/>
  <c r="K55" i="4"/>
  <c r="J63" i="4"/>
  <c r="J65" i="4" s="1"/>
  <c r="K65" i="4"/>
</calcChain>
</file>

<file path=xl/sharedStrings.xml><?xml version="1.0" encoding="utf-8"?>
<sst xmlns="http://schemas.openxmlformats.org/spreadsheetml/2006/main" count="399" uniqueCount="161">
  <si>
    <t xml:space="preserve">SSE Thermal Generation Output </t>
  </si>
  <si>
    <t>Notes</t>
  </si>
  <si>
    <t>Full year to 31/03/2021</t>
  </si>
  <si>
    <t>Full year to 31/03/2020</t>
  </si>
  <si>
    <t>Full year to 31/03/2019</t>
  </si>
  <si>
    <t>Full Year to 31/03/2018</t>
  </si>
  <si>
    <t>Thermal Summary Totals</t>
  </si>
  <si>
    <t>GWh</t>
  </si>
  <si>
    <t>GB</t>
  </si>
  <si>
    <t>Keadby</t>
  </si>
  <si>
    <t>Medway</t>
  </si>
  <si>
    <t>Peterhead</t>
  </si>
  <si>
    <t>Seabank</t>
  </si>
  <si>
    <t>100% PPAs as per contractual arrangments</t>
  </si>
  <si>
    <t>Marchwood</t>
  </si>
  <si>
    <t>OCGTs - Burghfield and Chickerell</t>
  </si>
  <si>
    <t>CHPs</t>
  </si>
  <si>
    <t>closed by April 2019</t>
  </si>
  <si>
    <t>na</t>
  </si>
  <si>
    <t>Total GB Thermal Business Generation Output (GWh)</t>
  </si>
  <si>
    <t>Ireland</t>
  </si>
  <si>
    <t>Great Island CCGT</t>
  </si>
  <si>
    <t>Tarbert</t>
  </si>
  <si>
    <t>Rhode</t>
  </si>
  <si>
    <t>Tawnaghmore</t>
  </si>
  <si>
    <t>Total Irish thermal output GWh</t>
  </si>
  <si>
    <t>Total SSE Thermal Business Generation Ouput (GWh)</t>
  </si>
  <si>
    <t>Energy from Waste</t>
  </si>
  <si>
    <t>Ferrybridge Multifuel</t>
  </si>
  <si>
    <t>50% of output</t>
  </si>
  <si>
    <t>Coal-fired Output</t>
  </si>
  <si>
    <t>Fiddlers Ferry</t>
  </si>
  <si>
    <t>site closed 31 March 2020</t>
  </si>
  <si>
    <t>Prepared on best endeavours basis</t>
  </si>
  <si>
    <t>Generation ouput GB is total net exported Metered Data @ NBP (sometimes estimated at period end). Eire is data final as published by Single Electricity Market Operator</t>
  </si>
  <si>
    <t>Plant operated by Distribution &amp; Enterprise</t>
  </si>
  <si>
    <t xml:space="preserve">Lerwick &amp; island diesle </t>
  </si>
  <si>
    <t>Small &amp; island diesels</t>
  </si>
  <si>
    <t>CEPs &amp; Chippenham</t>
  </si>
  <si>
    <t>not material</t>
  </si>
  <si>
    <t xml:space="preserve">Total Thermal Generation including Coal, Multifuel, Lerwick &amp; Island Diesles </t>
  </si>
  <si>
    <t>SSE Thermal Capacity</t>
  </si>
  <si>
    <t>Last updated</t>
  </si>
  <si>
    <t>31 March 2021</t>
  </si>
  <si>
    <t>MW</t>
  </si>
  <si>
    <t>Coal fired generation</t>
  </si>
  <si>
    <t>zero</t>
  </si>
  <si>
    <t>In Development</t>
  </si>
  <si>
    <t>Keadby 2</t>
  </si>
  <si>
    <t>Waste to Energy</t>
  </si>
  <si>
    <t xml:space="preserve">SSE Thermal Capacity </t>
  </si>
  <si>
    <t>Location</t>
  </si>
  <si>
    <t>Technology / Fuel</t>
  </si>
  <si>
    <t>Ownership - SSE share shown here</t>
  </si>
  <si>
    <t>Partners</t>
  </si>
  <si>
    <t>Total Installed Capacity</t>
  </si>
  <si>
    <t>SSE Share of Capacity as at 31 March 2021</t>
  </si>
  <si>
    <t>Eligible for Capacity Mechanism Contracts</t>
  </si>
  <si>
    <t>Commercial Year</t>
  </si>
  <si>
    <t>Achieved Average Gross Efficiency</t>
  </si>
  <si>
    <t xml:space="preserve">Corrected LHV Efficiency </t>
  </si>
  <si>
    <t>GB Gas- and oil-fired capacity</t>
  </si>
  <si>
    <t>year ended 31 March 2021</t>
  </si>
  <si>
    <t>Keadby 1</t>
  </si>
  <si>
    <t>England</t>
  </si>
  <si>
    <t>CCGT</t>
  </si>
  <si>
    <t>Y</t>
  </si>
  <si>
    <t>Keadby OCGT</t>
  </si>
  <si>
    <t>OCGT</t>
  </si>
  <si>
    <t>Corrected LHV Efficiency is a theoretical design efficiency</t>
  </si>
  <si>
    <t>Scotland</t>
  </si>
  <si>
    <t>Repowered 2000</t>
  </si>
  <si>
    <t>CK Infrastructure Holdings Limited</t>
  </si>
  <si>
    <t>Munich Re</t>
  </si>
  <si>
    <t>Burghfield</t>
  </si>
  <si>
    <t xml:space="preserve">Chickerell </t>
  </si>
  <si>
    <t>Total</t>
  </si>
  <si>
    <t>Irish Gas and Oil-fired capacity</t>
  </si>
  <si>
    <t>Great Island</t>
  </si>
  <si>
    <t>ROI</t>
  </si>
  <si>
    <t xml:space="preserve">Tarbert </t>
  </si>
  <si>
    <t>Oil</t>
  </si>
  <si>
    <t>1970/1976</t>
  </si>
  <si>
    <t>32-36%</t>
  </si>
  <si>
    <t xml:space="preserve">Rhode </t>
  </si>
  <si>
    <t>Coal-fired capacity</t>
  </si>
  <si>
    <t xml:space="preserve">Ferrybridge </t>
  </si>
  <si>
    <t>Coal</t>
  </si>
  <si>
    <t>closed</t>
  </si>
  <si>
    <t>N</t>
  </si>
  <si>
    <t>Closed March 2016</t>
  </si>
  <si>
    <t>n/a</t>
  </si>
  <si>
    <t>Was 2GW when fully operational</t>
  </si>
  <si>
    <t xml:space="preserve">Fiddlers Ferry </t>
  </si>
  <si>
    <t>Closed March 2020</t>
  </si>
  <si>
    <t>In construction - delivery due 2022</t>
  </si>
  <si>
    <t>Slough</t>
  </si>
  <si>
    <t>Copenhagen Infrastructure Partners</t>
  </si>
  <si>
    <t xml:space="preserve">Site preparation woks underway expected to be operational by 2025. </t>
  </si>
  <si>
    <t xml:space="preserve">Recent Disposals </t>
  </si>
  <si>
    <t>Wheelabrator</t>
  </si>
  <si>
    <t>circa 30%</t>
  </si>
  <si>
    <t>Sold October 2020</t>
  </si>
  <si>
    <t>Ferrybridge Multifuel 2</t>
  </si>
  <si>
    <t>Skelton Grange</t>
  </si>
  <si>
    <t>Development project, sold October 2020</t>
  </si>
  <si>
    <t>Capacities are as per published Transmission Entry Capacity (TEC)</t>
  </si>
  <si>
    <t xml:space="preserve">Achieved Average Gross Efficiency is based on net electricity output / total energy input  .  Balancing mechanism activity means the plant is sometimes required to run at less than maximum efficiency </t>
  </si>
  <si>
    <t>Correct LHV efficiency % based on sent out energy and corrected for site-specific ambient conditions</t>
  </si>
  <si>
    <t>CCGT : Combined Cycle Gas Turbine; OCGT Open Cycle Gas Turbine</t>
  </si>
  <si>
    <t>Some smaller sites are not part of SSE's Thermal operations and are operated by SSEN Distribution or SSE Enterprise and are detailed below</t>
  </si>
  <si>
    <t>Thermal Capacity Operated by other SSE Businesses</t>
  </si>
  <si>
    <t>Ownership</t>
  </si>
  <si>
    <t>Total Installed Capacity (MW)</t>
  </si>
  <si>
    <t>SSE share of capacity as at 31/03/2021</t>
  </si>
  <si>
    <t>Lerwick - Distribution</t>
  </si>
  <si>
    <t>Island Diesels - Distribution</t>
  </si>
  <si>
    <t>Island Diesels</t>
  </si>
  <si>
    <t>Diesels - Distribution</t>
  </si>
  <si>
    <t>Small Diesels</t>
  </si>
  <si>
    <t>CEPs &amp; Chieppenham- Enterprise</t>
  </si>
  <si>
    <t>SSE Capacity Payment Schedule</t>
  </si>
  <si>
    <t>Last Updated</t>
  </si>
  <si>
    <t>Oct to Sep</t>
  </si>
  <si>
    <t>Renewables</t>
  </si>
  <si>
    <t>Thermal</t>
  </si>
  <si>
    <t>Apr - Mar</t>
  </si>
  <si>
    <t>Contract Year</t>
  </si>
  <si>
    <t>SSE Financial year</t>
  </si>
  <si>
    <t>2017/18</t>
  </si>
  <si>
    <t>T-1</t>
  </si>
  <si>
    <t>Contract price £/Kw</t>
  </si>
  <si>
    <t>Capacity (MW)</t>
  </si>
  <si>
    <t>-</t>
  </si>
  <si>
    <t>Value (£million)</t>
  </si>
  <si>
    <t>2018/19</t>
  </si>
  <si>
    <t>T-4</t>
  </si>
  <si>
    <t>p</t>
  </si>
  <si>
    <t>a</t>
  </si>
  <si>
    <t>Value (£m)</t>
  </si>
  <si>
    <t>2019/20</t>
  </si>
  <si>
    <t>2020/21</t>
  </si>
  <si>
    <t>2021/22</t>
  </si>
  <si>
    <t>e</t>
  </si>
  <si>
    <t>2022/23</t>
  </si>
  <si>
    <t>2023/24</t>
  </si>
  <si>
    <t>2024/25</t>
  </si>
  <si>
    <t>15 Year 23/24</t>
  </si>
  <si>
    <t>2025/26</t>
  </si>
  <si>
    <t>Capacities are in line with de-rating factors issued by the delivery body for each contract year, therefore will not directly match SSE's published station capacities</t>
  </si>
  <si>
    <t>Contract years are October - September</t>
  </si>
  <si>
    <t>SSE Financial years are April - March</t>
  </si>
  <si>
    <t>Contract payments are weighted depending on demand weighting and are calculated by EMRS on behalf of the ESC.    Currently assumes 55% weighting Oct - March; 45% weighting Apr - Sept.</t>
  </si>
  <si>
    <t xml:space="preserve">Includes SSE share of JV capacity contract income (thermal, renewable and multifuel) , along with Peterhead's contract year 19/20 secured on the secondary market.  </t>
  </si>
  <si>
    <t>p (published at time of auction); a (actual based on CPI); e (estimate based on forecast CPI)</t>
  </si>
  <si>
    <t>More info publishes website link  - https://www.emrdeliverybody.com/sitepages/home.aspx.</t>
  </si>
  <si>
    <t>Due to the temporary suspsension of GB capacity market payments relating to contract yar 2018/19; Sept 2018 to March 2019 payments were received by SSE in its financial year 2019/20.</t>
  </si>
  <si>
    <t>c965MW of conventional and pumped storage hydro capacity and c38MW of Wind particpates and have been awarded capacity mechanism contracts (pre- derating adjustment factor)</t>
  </si>
  <si>
    <t>15 Year 24/25</t>
  </si>
  <si>
    <t>GB Gas and oil-fired generation</t>
  </si>
  <si>
    <t>Irish Gas and oil-fired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</si>
</sst>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_-;\-* #,##0_-;_-* &quot;-&quot;??_-;_-@_-"/>
    <numFmt numFmtId="168" formatCode="0.0"/>
    <numFmt numFmtId="169" formatCode="0.0%"/>
    <numFmt numFmtId="170" formatCode="_-&quot;£&quot;* #,##0_-;\-&quot;£&quot;* #,##0_-;_-&quot;£&quot;* &quot;-&quot;??_-;_-@_-"/>
    <numFmt numFmtId="171" formatCode="_-&quot;£&quot;* #,##0.0_-;\-&quot;£&quot;* #,##0.0_-;_-&quot;£&quot;* &quot;-&quot;??_-;_-@_-"/>
  </numFmts>
  <fonts count="2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name val="CG Times (W1)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b/>
      <i/>
      <u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i/>
      <sz val="11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13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13"/>
      </patternFill>
    </fill>
    <fill>
      <patternFill patternType="solid">
        <fgColor rgb="FF99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72">
    <xf numFmtId="0" fontId="0" fillId="0" borderId="0" xfId="0"/>
    <xf numFmtId="1" fontId="5" fillId="2" borderId="1" xfId="1" applyNumberFormat="1" applyFont="1" applyFill="1" applyBorder="1" applyAlignment="1" applyProtection="1">
      <alignment horizontal="left" vertical="center"/>
      <protection locked="0"/>
    </xf>
    <xf numFmtId="1" fontId="5" fillId="3" borderId="1" xfId="2" applyNumberFormat="1" applyFont="1" applyFill="1" applyBorder="1" applyAlignment="1" applyProtection="1">
      <alignment horizontal="center" vertical="center"/>
      <protection locked="0"/>
    </xf>
    <xf numFmtId="165" fontId="5" fillId="3" borderId="1" xfId="3" quotePrefix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" applyFont="1" applyProtection="1">
      <protection locked="0"/>
    </xf>
    <xf numFmtId="0" fontId="5" fillId="3" borderId="1" xfId="1" applyFont="1" applyFill="1" applyBorder="1" applyProtection="1">
      <protection locked="0"/>
    </xf>
    <xf numFmtId="165" fontId="7" fillId="3" borderId="1" xfId="3" applyNumberFormat="1" applyFont="1" applyFill="1" applyBorder="1" applyAlignment="1" applyProtection="1">
      <alignment horizontal="right" wrapText="1"/>
      <protection locked="0"/>
    </xf>
    <xf numFmtId="0" fontId="6" fillId="4" borderId="0" xfId="2" applyFont="1" applyFill="1" applyProtection="1">
      <protection locked="0"/>
    </xf>
    <xf numFmtId="0" fontId="8" fillId="0" borderId="2" xfId="2" applyFont="1" applyBorder="1"/>
    <xf numFmtId="1" fontId="8" fillId="0" borderId="3" xfId="2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right"/>
    </xf>
    <xf numFmtId="0" fontId="9" fillId="0" borderId="0" xfId="2" applyFont="1"/>
    <xf numFmtId="0" fontId="9" fillId="0" borderId="5" xfId="1" applyFont="1" applyBorder="1"/>
    <xf numFmtId="9" fontId="9" fillId="0" borderId="6" xfId="1" applyNumberFormat="1" applyFont="1" applyBorder="1" applyAlignment="1">
      <alignment horizontal="center"/>
    </xf>
    <xf numFmtId="3" fontId="9" fillId="0" borderId="6" xfId="2" applyNumberFormat="1" applyFont="1" applyBorder="1" applyAlignment="1">
      <alignment horizontal="right" wrapText="1"/>
    </xf>
    <xf numFmtId="3" fontId="9" fillId="0" borderId="6" xfId="1" applyNumberFormat="1" applyFont="1" applyBorder="1" applyAlignment="1">
      <alignment horizontal="right" wrapText="1"/>
    </xf>
    <xf numFmtId="166" fontId="10" fillId="0" borderId="7" xfId="1" applyNumberFormat="1" applyFont="1" applyBorder="1"/>
    <xf numFmtId="166" fontId="10" fillId="0" borderId="8" xfId="1" applyNumberFormat="1" applyFont="1" applyBorder="1" applyAlignment="1">
      <alignment horizontal="center"/>
    </xf>
    <xf numFmtId="3" fontId="8" fillId="0" borderId="9" xfId="1" applyNumberFormat="1" applyFont="1" applyBorder="1" applyAlignment="1">
      <alignment horizontal="right" wrapText="1"/>
    </xf>
    <xf numFmtId="166" fontId="9" fillId="0" borderId="0" xfId="2" applyNumberFormat="1" applyFont="1"/>
    <xf numFmtId="1" fontId="8" fillId="0" borderId="2" xfId="2" applyNumberFormat="1" applyFont="1" applyBorder="1" applyAlignment="1">
      <alignment horizontal="left" vertical="center" wrapText="1"/>
    </xf>
    <xf numFmtId="0" fontId="9" fillId="0" borderId="0" xfId="2" applyFont="1" applyAlignment="1">
      <alignment wrapText="1"/>
    </xf>
    <xf numFmtId="166" fontId="10" fillId="0" borderId="10" xfId="1" applyNumberFormat="1" applyFont="1" applyBorder="1" applyAlignment="1">
      <alignment horizontal="left"/>
    </xf>
    <xf numFmtId="166" fontId="10" fillId="0" borderId="11" xfId="1" applyNumberFormat="1" applyFont="1" applyBorder="1" applyAlignment="1">
      <alignment horizontal="center"/>
    </xf>
    <xf numFmtId="0" fontId="10" fillId="0" borderId="0" xfId="1" applyFont="1"/>
    <xf numFmtId="3" fontId="8" fillId="0" borderId="0" xfId="1" applyNumberFormat="1" applyFont="1" applyAlignment="1">
      <alignment horizontal="right" wrapText="1"/>
    </xf>
    <xf numFmtId="0" fontId="10" fillId="5" borderId="12" xfId="1" applyFont="1" applyFill="1" applyBorder="1" applyAlignment="1">
      <alignment horizontal="left"/>
    </xf>
    <xf numFmtId="0" fontId="10" fillId="5" borderId="13" xfId="1" applyFont="1" applyFill="1" applyBorder="1" applyAlignment="1">
      <alignment horizontal="left"/>
    </xf>
    <xf numFmtId="3" fontId="8" fillId="5" borderId="14" xfId="1" applyNumberFormat="1" applyFont="1" applyFill="1" applyBorder="1" applyAlignment="1">
      <alignment horizontal="right" wrapText="1"/>
    </xf>
    <xf numFmtId="0" fontId="8" fillId="6" borderId="15" xfId="1" applyFont="1" applyFill="1" applyBorder="1"/>
    <xf numFmtId="3" fontId="8" fillId="6" borderId="15" xfId="1" applyNumberFormat="1" applyFont="1" applyFill="1" applyBorder="1" applyAlignment="1">
      <alignment horizontal="right" wrapText="1"/>
    </xf>
    <xf numFmtId="0" fontId="11" fillId="0" borderId="12" xfId="1" applyFont="1" applyBorder="1"/>
    <xf numFmtId="0" fontId="12" fillId="0" borderId="14" xfId="1" applyFont="1" applyBorder="1" applyAlignment="1">
      <alignment horizontal="center"/>
    </xf>
    <xf numFmtId="3" fontId="12" fillId="0" borderId="14" xfId="1" applyNumberFormat="1" applyFont="1" applyBorder="1" applyAlignment="1">
      <alignment horizontal="right" wrapText="1"/>
    </xf>
    <xf numFmtId="0" fontId="9" fillId="0" borderId="12" xfId="1" applyFont="1" applyBorder="1"/>
    <xf numFmtId="0" fontId="9" fillId="6" borderId="14" xfId="1" applyFont="1" applyFill="1" applyBorder="1" applyAlignment="1">
      <alignment horizontal="center" wrapText="1"/>
    </xf>
    <xf numFmtId="3" fontId="9" fillId="0" borderId="14" xfId="1" applyNumberFormat="1" applyFont="1" applyBorder="1" applyAlignment="1">
      <alignment horizontal="right" wrapText="1"/>
    </xf>
    <xf numFmtId="0" fontId="13" fillId="6" borderId="0" xfId="1" applyFont="1" applyFill="1" applyAlignment="1">
      <alignment vertical="center"/>
    </xf>
    <xf numFmtId="0" fontId="8" fillId="6" borderId="0" xfId="1" applyFont="1" applyFill="1" applyAlignment="1">
      <alignment horizontal="center"/>
    </xf>
    <xf numFmtId="3" fontId="8" fillId="6" borderId="0" xfId="1" applyNumberFormat="1" applyFont="1" applyFill="1" applyAlignment="1">
      <alignment horizontal="right" wrapText="1"/>
    </xf>
    <xf numFmtId="0" fontId="11" fillId="0" borderId="14" xfId="1" applyFont="1" applyBorder="1" applyAlignment="1">
      <alignment horizontal="center"/>
    </xf>
    <xf numFmtId="3" fontId="11" fillId="0" borderId="14" xfId="1" applyNumberFormat="1" applyFont="1" applyBorder="1" applyAlignment="1">
      <alignment horizontal="right" wrapText="1"/>
    </xf>
    <xf numFmtId="9" fontId="9" fillId="0" borderId="14" xfId="1" applyNumberFormat="1" applyFont="1" applyBorder="1" applyAlignment="1">
      <alignment horizontal="center"/>
    </xf>
    <xf numFmtId="3" fontId="9" fillId="0" borderId="0" xfId="2" applyNumberFormat="1" applyFont="1" applyAlignment="1">
      <alignment horizontal="right" wrapText="1"/>
    </xf>
    <xf numFmtId="0" fontId="15" fillId="0" borderId="0" xfId="4" applyFont="1"/>
    <xf numFmtId="0" fontId="9" fillId="6" borderId="5" xfId="1" applyFont="1" applyFill="1" applyBorder="1"/>
    <xf numFmtId="0" fontId="10" fillId="0" borderId="12" xfId="1" applyFont="1" applyBorder="1" applyAlignment="1">
      <alignment horizontal="left"/>
    </xf>
    <xf numFmtId="0" fontId="10" fillId="0" borderId="13" xfId="1" applyFont="1" applyBorder="1" applyAlignment="1">
      <alignment horizontal="left"/>
    </xf>
    <xf numFmtId="3" fontId="10" fillId="0" borderId="12" xfId="1" applyNumberFormat="1" applyFont="1" applyBorder="1" applyAlignment="1">
      <alignment horizontal="right"/>
    </xf>
    <xf numFmtId="3" fontId="10" fillId="0" borderId="16" xfId="1" applyNumberFormat="1" applyFont="1" applyBorder="1" applyAlignment="1">
      <alignment horizontal="right"/>
    </xf>
    <xf numFmtId="0" fontId="9" fillId="0" borderId="0" xfId="2" applyFont="1" applyAlignment="1">
      <alignment horizontal="right" wrapText="1"/>
    </xf>
    <xf numFmtId="0" fontId="9" fillId="0" borderId="0" xfId="2" applyFont="1" applyAlignment="1">
      <alignment horizontal="right"/>
    </xf>
    <xf numFmtId="0" fontId="9" fillId="0" borderId="0" xfId="1" applyFont="1"/>
    <xf numFmtId="1" fontId="8" fillId="0" borderId="0" xfId="1" applyNumberFormat="1" applyFont="1" applyAlignment="1" applyProtection="1">
      <alignment horizontal="left" vertical="center" wrapText="1"/>
      <protection locked="0"/>
    </xf>
    <xf numFmtId="1" fontId="10" fillId="7" borderId="0" xfId="1" applyNumberFormat="1" applyFont="1" applyFill="1" applyAlignment="1">
      <alignment horizontal="left" vertical="center"/>
    </xf>
    <xf numFmtId="1" fontId="8" fillId="7" borderId="0" xfId="1" applyNumberFormat="1" applyFont="1" applyFill="1" applyAlignment="1">
      <alignment horizontal="left" vertical="center"/>
    </xf>
    <xf numFmtId="1" fontId="8" fillId="7" borderId="17" xfId="1" applyNumberFormat="1" applyFont="1" applyFill="1" applyBorder="1" applyAlignment="1">
      <alignment horizontal="left" vertical="center"/>
    </xf>
    <xf numFmtId="0" fontId="9" fillId="0" borderId="0" xfId="2" applyFont="1" applyProtection="1">
      <protection locked="0"/>
    </xf>
    <xf numFmtId="1" fontId="8" fillId="7" borderId="1" xfId="1" applyNumberFormat="1" applyFont="1" applyFill="1" applyBorder="1" applyAlignment="1" applyProtection="1">
      <alignment horizontal="left" vertical="center"/>
      <protection locked="0"/>
    </xf>
    <xf numFmtId="1" fontId="8" fillId="7" borderId="0" xfId="1" applyNumberFormat="1" applyFont="1" applyFill="1" applyAlignment="1" applyProtection="1">
      <alignment horizontal="left" vertical="center"/>
      <protection locked="0"/>
    </xf>
    <xf numFmtId="167" fontId="8" fillId="0" borderId="0" xfId="5" applyNumberFormat="1" applyFont="1" applyAlignment="1" applyProtection="1">
      <alignment horizontal="center" vertical="center"/>
      <protection locked="0"/>
    </xf>
    <xf numFmtId="168" fontId="8" fillId="0" borderId="0" xfId="1" applyNumberFormat="1" applyFont="1" applyAlignment="1" applyProtection="1">
      <alignment horizontal="center" vertical="center"/>
      <protection locked="0"/>
    </xf>
    <xf numFmtId="169" fontId="8" fillId="0" borderId="0" xfId="6" applyNumberFormat="1" applyFont="1" applyFill="1" applyAlignment="1" applyProtection="1">
      <alignment horizontal="center" vertical="center"/>
      <protection locked="0"/>
    </xf>
    <xf numFmtId="1" fontId="8" fillId="0" borderId="0" xfId="1" applyNumberFormat="1" applyFont="1" applyAlignment="1" applyProtection="1">
      <alignment horizontal="left" vertical="center"/>
      <protection locked="0"/>
    </xf>
    <xf numFmtId="0" fontId="9" fillId="0" borderId="0" xfId="2" applyFont="1" applyAlignment="1" applyProtection="1">
      <alignment horizontal="center"/>
      <protection locked="0"/>
    </xf>
    <xf numFmtId="167" fontId="9" fillId="0" borderId="0" xfId="5" applyNumberFormat="1" applyFont="1" applyAlignment="1" applyProtection="1">
      <alignment horizontal="center"/>
      <protection locked="0"/>
    </xf>
    <xf numFmtId="169" fontId="9" fillId="0" borderId="0" xfId="6" applyNumberFormat="1" applyFont="1" applyFill="1" applyProtection="1">
      <protection locked="0"/>
    </xf>
    <xf numFmtId="1" fontId="2" fillId="2" borderId="18" xfId="1" applyNumberFormat="1" applyFont="1" applyFill="1" applyBorder="1" applyAlignment="1" applyProtection="1">
      <alignment horizontal="left" vertical="center"/>
      <protection locked="0"/>
    </xf>
    <xf numFmtId="168" fontId="2" fillId="2" borderId="19" xfId="1" applyNumberFormat="1" applyFont="1" applyFill="1" applyBorder="1" applyAlignment="1" applyProtection="1">
      <alignment horizontal="left" vertical="center"/>
      <protection locked="0"/>
    </xf>
    <xf numFmtId="0" fontId="2" fillId="2" borderId="19" xfId="1" applyFont="1" applyFill="1" applyBorder="1" applyAlignment="1" applyProtection="1">
      <alignment horizontal="left" vertical="center"/>
      <protection locked="0"/>
    </xf>
    <xf numFmtId="168" fontId="2" fillId="2" borderId="19" xfId="1" applyNumberFormat="1" applyFont="1" applyFill="1" applyBorder="1" applyAlignment="1" applyProtection="1">
      <alignment horizontal="left" vertical="center" wrapText="1"/>
      <protection locked="0"/>
    </xf>
    <xf numFmtId="0" fontId="1" fillId="6" borderId="0" xfId="1" applyFont="1" applyFill="1" applyProtection="1">
      <protection locked="0"/>
    </xf>
    <xf numFmtId="0" fontId="9" fillId="0" borderId="20" xfId="1" applyFont="1" applyBorder="1" applyProtection="1">
      <protection locked="0"/>
    </xf>
    <xf numFmtId="0" fontId="8" fillId="0" borderId="1" xfId="1" applyFont="1" applyBorder="1" applyAlignment="1" applyProtection="1">
      <alignment horizontal="left" vertical="center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167" fontId="8" fillId="0" borderId="1" xfId="5" applyNumberFormat="1" applyFont="1" applyBorder="1" applyAlignment="1" applyProtection="1">
      <alignment horizontal="center" vertical="center" wrapText="1"/>
      <protection locked="0"/>
    </xf>
    <xf numFmtId="167" fontId="8" fillId="0" borderId="1" xfId="5" quotePrefix="1" applyNumberFormat="1" applyFont="1" applyBorder="1" applyAlignment="1" applyProtection="1">
      <alignment horizontal="center" vertical="center" wrapText="1"/>
      <protection locked="0"/>
    </xf>
    <xf numFmtId="1" fontId="8" fillId="0" borderId="1" xfId="1" quotePrefix="1" applyNumberFormat="1" applyFont="1" applyBorder="1" applyAlignment="1" applyProtection="1">
      <alignment horizontal="center" vertical="center" wrapText="1"/>
      <protection locked="0"/>
    </xf>
    <xf numFmtId="1" fontId="8" fillId="6" borderId="1" xfId="1" quotePrefix="1" applyNumberFormat="1" applyFont="1" applyFill="1" applyBorder="1" applyAlignment="1" applyProtection="1">
      <alignment horizontal="center" vertical="center" wrapText="1"/>
      <protection locked="0"/>
    </xf>
    <xf numFmtId="169" fontId="8" fillId="6" borderId="1" xfId="6" quotePrefix="1" applyNumberFormat="1" applyFont="1" applyFill="1" applyBorder="1" applyAlignment="1" applyProtection="1">
      <alignment horizontal="center" vertical="center" wrapText="1"/>
      <protection locked="0"/>
    </xf>
    <xf numFmtId="1" fontId="8" fillId="0" borderId="21" xfId="1" quotePrefix="1" applyNumberFormat="1" applyFont="1" applyBorder="1" applyAlignment="1" applyProtection="1">
      <alignment vertical="center" wrapText="1"/>
      <protection locked="0"/>
    </xf>
    <xf numFmtId="0" fontId="8" fillId="8" borderId="12" xfId="1" applyFont="1" applyFill="1" applyBorder="1" applyProtection="1">
      <protection locked="0"/>
    </xf>
    <xf numFmtId="0" fontId="8" fillId="8" borderId="1" xfId="1" applyFont="1" applyFill="1" applyBorder="1" applyProtection="1">
      <protection locked="0"/>
    </xf>
    <xf numFmtId="0" fontId="8" fillId="8" borderId="1" xfId="1" applyFont="1" applyFill="1" applyBorder="1" applyAlignment="1" applyProtection="1">
      <alignment wrapText="1"/>
      <protection locked="0"/>
    </xf>
    <xf numFmtId="0" fontId="8" fillId="8" borderId="1" xfId="1" applyFont="1" applyFill="1" applyBorder="1" applyAlignment="1" applyProtection="1">
      <alignment horizontal="center"/>
      <protection locked="0"/>
    </xf>
    <xf numFmtId="167" fontId="8" fillId="8" borderId="1" xfId="5" applyNumberFormat="1" applyFont="1" applyFill="1" applyBorder="1" applyAlignment="1" applyProtection="1">
      <alignment horizontal="center"/>
      <protection locked="0"/>
    </xf>
    <xf numFmtId="169" fontId="8" fillId="8" borderId="1" xfId="6" applyNumberFormat="1" applyFont="1" applyFill="1" applyBorder="1" applyAlignment="1" applyProtection="1">
      <alignment horizontal="center"/>
      <protection locked="0"/>
    </xf>
    <xf numFmtId="0" fontId="8" fillId="8" borderId="21" xfId="1" applyFont="1" applyFill="1" applyBorder="1" applyProtection="1">
      <protection locked="0"/>
    </xf>
    <xf numFmtId="0" fontId="9" fillId="0" borderId="5" xfId="1" applyFont="1" applyBorder="1" applyProtection="1">
      <protection locked="0"/>
    </xf>
    <xf numFmtId="0" fontId="9" fillId="0" borderId="1" xfId="1" applyFont="1" applyBorder="1" applyProtection="1">
      <protection locked="0"/>
    </xf>
    <xf numFmtId="0" fontId="9" fillId="0" borderId="1" xfId="1" applyFont="1" applyBorder="1" applyAlignment="1" applyProtection="1">
      <alignment wrapText="1"/>
      <protection locked="0"/>
    </xf>
    <xf numFmtId="9" fontId="9" fillId="0" borderId="1" xfId="1" applyNumberFormat="1" applyFont="1" applyBorder="1" applyAlignment="1" applyProtection="1">
      <alignment horizontal="center"/>
      <protection locked="0"/>
    </xf>
    <xf numFmtId="167" fontId="9" fillId="0" borderId="1" xfId="5" applyNumberFormat="1" applyFont="1" applyFill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10" fontId="9" fillId="0" borderId="1" xfId="1" applyNumberFormat="1" applyFont="1" applyBorder="1" applyAlignment="1" applyProtection="1">
      <alignment horizontal="center"/>
      <protection locked="0"/>
    </xf>
    <xf numFmtId="169" fontId="9" fillId="0" borderId="1" xfId="6" applyNumberFormat="1" applyFont="1" applyFill="1" applyBorder="1" applyAlignment="1" applyProtection="1">
      <alignment horizontal="center"/>
      <protection locked="0"/>
    </xf>
    <xf numFmtId="0" fontId="9" fillId="0" borderId="21" xfId="1" applyFont="1" applyBorder="1" applyProtection="1">
      <protection locked="0"/>
    </xf>
    <xf numFmtId="0" fontId="8" fillId="0" borderId="7" xfId="1" applyFont="1" applyBorder="1" applyProtection="1">
      <protection locked="0"/>
    </xf>
    <xf numFmtId="0" fontId="8" fillId="0" borderId="1" xfId="1" applyFont="1" applyBorder="1" applyProtection="1">
      <protection locked="0"/>
    </xf>
    <xf numFmtId="0" fontId="8" fillId="0" borderId="1" xfId="1" applyFont="1" applyBorder="1" applyAlignment="1" applyProtection="1">
      <alignment wrapText="1"/>
      <protection locked="0"/>
    </xf>
    <xf numFmtId="0" fontId="8" fillId="0" borderId="1" xfId="1" applyFont="1" applyBorder="1" applyAlignment="1" applyProtection="1">
      <alignment horizontal="center"/>
      <protection locked="0"/>
    </xf>
    <xf numFmtId="167" fontId="8" fillId="0" borderId="1" xfId="5" applyNumberFormat="1" applyFont="1" applyFill="1" applyBorder="1" applyAlignment="1" applyProtection="1">
      <alignment horizontal="center"/>
      <protection locked="0"/>
    </xf>
    <xf numFmtId="168" fontId="8" fillId="0" borderId="1" xfId="1" applyNumberFormat="1" applyFont="1" applyBorder="1" applyAlignment="1" applyProtection="1">
      <alignment horizontal="center"/>
      <protection locked="0"/>
    </xf>
    <xf numFmtId="169" fontId="8" fillId="0" borderId="1" xfId="6" applyNumberFormat="1" applyFont="1" applyFill="1" applyBorder="1" applyAlignment="1" applyProtection="1">
      <alignment horizontal="center"/>
      <protection locked="0"/>
    </xf>
    <xf numFmtId="168" fontId="8" fillId="0" borderId="21" xfId="1" applyNumberFormat="1" applyFont="1" applyBorder="1" applyProtection="1">
      <protection locked="0"/>
    </xf>
    <xf numFmtId="9" fontId="9" fillId="0" borderId="1" xfId="1" applyNumberFormat="1" applyFont="1" applyBorder="1" applyProtection="1">
      <protection locked="0"/>
    </xf>
    <xf numFmtId="9" fontId="9" fillId="0" borderId="1" xfId="1" applyNumberFormat="1" applyFont="1" applyBorder="1" applyAlignment="1" applyProtection="1">
      <alignment wrapText="1"/>
      <protection locked="0"/>
    </xf>
    <xf numFmtId="0" fontId="8" fillId="0" borderId="21" xfId="1" applyFont="1" applyBorder="1" applyProtection="1">
      <protection locked="0"/>
    </xf>
    <xf numFmtId="0" fontId="8" fillId="8" borderId="22" xfId="1" applyFont="1" applyFill="1" applyBorder="1" applyProtection="1">
      <protection locked="0"/>
    </xf>
    <xf numFmtId="167" fontId="9" fillId="0" borderId="1" xfId="5" applyNumberFormat="1" applyFont="1" applyBorder="1" applyAlignment="1" applyProtection="1">
      <alignment horizontal="center" wrapText="1"/>
      <protection locked="0"/>
    </xf>
    <xf numFmtId="0" fontId="9" fillId="0" borderId="1" xfId="1" applyFont="1" applyBorder="1" applyAlignment="1" applyProtection="1">
      <alignment horizontal="center" wrapText="1"/>
      <protection locked="0"/>
    </xf>
    <xf numFmtId="169" fontId="9" fillId="0" borderId="1" xfId="6" applyNumberFormat="1" applyFont="1" applyBorder="1" applyAlignment="1" applyProtection="1">
      <alignment horizontal="center" wrapText="1"/>
      <protection locked="0"/>
    </xf>
    <xf numFmtId="0" fontId="9" fillId="0" borderId="21" xfId="1" applyFont="1" applyBorder="1" applyAlignment="1" applyProtection="1">
      <alignment wrapText="1"/>
      <protection locked="0"/>
    </xf>
    <xf numFmtId="167" fontId="9" fillId="0" borderId="1" xfId="5" applyNumberFormat="1" applyFont="1" applyFill="1" applyBorder="1" applyAlignment="1" applyProtection="1">
      <alignment horizontal="center" wrapText="1"/>
      <protection locked="0"/>
    </xf>
    <xf numFmtId="169" fontId="9" fillId="0" borderId="1" xfId="6" applyNumberFormat="1" applyFont="1" applyFill="1" applyBorder="1" applyAlignment="1" applyProtection="1">
      <alignment horizontal="center" wrapText="1"/>
      <protection locked="0"/>
    </xf>
    <xf numFmtId="0" fontId="9" fillId="0" borderId="5" xfId="2" applyFont="1" applyBorder="1" applyProtection="1">
      <protection locked="0"/>
    </xf>
    <xf numFmtId="0" fontId="9" fillId="0" borderId="1" xfId="2" applyFont="1" applyBorder="1" applyProtection="1">
      <protection locked="0"/>
    </xf>
    <xf numFmtId="0" fontId="9" fillId="0" borderId="1" xfId="2" applyFont="1" applyBorder="1" applyAlignment="1" applyProtection="1">
      <alignment wrapText="1"/>
      <protection locked="0"/>
    </xf>
    <xf numFmtId="0" fontId="9" fillId="0" borderId="1" xfId="2" applyFont="1" applyBorder="1" applyAlignment="1" applyProtection="1">
      <alignment horizontal="center"/>
      <protection locked="0"/>
    </xf>
    <xf numFmtId="167" fontId="9" fillId="0" borderId="1" xfId="5" applyNumberFormat="1" applyFont="1" applyBorder="1" applyAlignment="1" applyProtection="1">
      <alignment horizontal="center"/>
      <protection locked="0"/>
    </xf>
    <xf numFmtId="169" fontId="9" fillId="0" borderId="1" xfId="6" applyNumberFormat="1" applyFont="1" applyBorder="1" applyAlignment="1" applyProtection="1">
      <alignment horizontal="center"/>
      <protection locked="0"/>
    </xf>
    <xf numFmtId="0" fontId="9" fillId="0" borderId="21" xfId="2" applyFont="1" applyBorder="1" applyProtection="1">
      <protection locked="0"/>
    </xf>
    <xf numFmtId="0" fontId="9" fillId="0" borderId="23" xfId="2" applyFont="1" applyBorder="1" applyProtection="1">
      <protection locked="0"/>
    </xf>
    <xf numFmtId="9" fontId="9" fillId="0" borderId="1" xfId="2" applyNumberFormat="1" applyFont="1" applyBorder="1" applyAlignment="1" applyProtection="1">
      <alignment horizontal="center"/>
      <protection locked="0"/>
    </xf>
    <xf numFmtId="167" fontId="9" fillId="0" borderId="1" xfId="5" applyNumberFormat="1" applyFont="1" applyFill="1" applyBorder="1" applyAlignment="1" applyProtection="1">
      <protection locked="0"/>
    </xf>
    <xf numFmtId="0" fontId="9" fillId="0" borderId="24" xfId="2" applyFont="1" applyBorder="1" applyProtection="1">
      <protection locked="0"/>
    </xf>
    <xf numFmtId="0" fontId="9" fillId="0" borderId="24" xfId="1" applyFont="1" applyBorder="1" applyAlignment="1" applyProtection="1">
      <alignment wrapText="1"/>
      <protection locked="0"/>
    </xf>
    <xf numFmtId="9" fontId="9" fillId="0" borderId="24" xfId="2" applyNumberFormat="1" applyFont="1" applyBorder="1" applyAlignment="1" applyProtection="1">
      <alignment horizontal="center"/>
      <protection locked="0"/>
    </xf>
    <xf numFmtId="167" fontId="9" fillId="0" borderId="24" xfId="5" applyNumberFormat="1" applyFont="1" applyFill="1" applyBorder="1" applyAlignment="1" applyProtection="1">
      <protection locked="0"/>
    </xf>
    <xf numFmtId="0" fontId="9" fillId="0" borderId="24" xfId="2" applyFont="1" applyBorder="1" applyAlignment="1" applyProtection="1">
      <alignment horizontal="center"/>
      <protection locked="0"/>
    </xf>
    <xf numFmtId="0" fontId="9" fillId="0" borderId="24" xfId="1" applyFont="1" applyBorder="1" applyAlignment="1" applyProtection="1">
      <alignment horizontal="center" wrapText="1"/>
      <protection locked="0"/>
    </xf>
    <xf numFmtId="169" fontId="9" fillId="0" borderId="24" xfId="6" applyNumberFormat="1" applyFont="1" applyFill="1" applyBorder="1" applyAlignment="1" applyProtection="1">
      <alignment horizontal="center"/>
      <protection locked="0"/>
    </xf>
    <xf numFmtId="0" fontId="9" fillId="0" borderId="25" xfId="2" applyFont="1" applyBorder="1" applyProtection="1">
      <protection locked="0"/>
    </xf>
    <xf numFmtId="0" fontId="9" fillId="0" borderId="20" xfId="2" applyFont="1" applyBorder="1" applyProtection="1">
      <protection locked="0"/>
    </xf>
    <xf numFmtId="0" fontId="9" fillId="0" borderId="26" xfId="2" applyFont="1" applyBorder="1" applyProtection="1">
      <protection locked="0"/>
    </xf>
    <xf numFmtId="0" fontId="9" fillId="0" borderId="26" xfId="1" applyFont="1" applyBorder="1" applyAlignment="1" applyProtection="1">
      <alignment wrapText="1"/>
      <protection locked="0"/>
    </xf>
    <xf numFmtId="9" fontId="9" fillId="0" borderId="26" xfId="2" applyNumberFormat="1" applyFont="1" applyBorder="1" applyAlignment="1" applyProtection="1">
      <alignment horizontal="center"/>
      <protection locked="0"/>
    </xf>
    <xf numFmtId="167" fontId="9" fillId="0" borderId="26" xfId="5" applyNumberFormat="1" applyFont="1" applyFill="1" applyBorder="1" applyAlignment="1" applyProtection="1">
      <protection locked="0"/>
    </xf>
    <xf numFmtId="0" fontId="9" fillId="0" borderId="26" xfId="2" applyFont="1" applyBorder="1" applyAlignment="1" applyProtection="1">
      <alignment horizontal="center"/>
      <protection locked="0"/>
    </xf>
    <xf numFmtId="0" fontId="9" fillId="0" borderId="26" xfId="1" applyFont="1" applyBorder="1" applyAlignment="1" applyProtection="1">
      <alignment horizontal="center" wrapText="1"/>
      <protection locked="0"/>
    </xf>
    <xf numFmtId="169" fontId="9" fillId="0" borderId="26" xfId="6" applyNumberFormat="1" applyFont="1" applyFill="1" applyBorder="1" applyAlignment="1" applyProtection="1">
      <alignment horizontal="center"/>
      <protection locked="0"/>
    </xf>
    <xf numFmtId="0" fontId="9" fillId="0" borderId="0" xfId="2" applyFont="1" applyAlignment="1" applyProtection="1">
      <alignment wrapText="1"/>
      <protection locked="0"/>
    </xf>
    <xf numFmtId="169" fontId="9" fillId="0" borderId="0" xfId="6" applyNumberFormat="1" applyFont="1" applyProtection="1">
      <protection locked="0"/>
    </xf>
    <xf numFmtId="0" fontId="1" fillId="0" borderId="0" xfId="4" applyFont="1" applyProtection="1">
      <protection locked="0"/>
    </xf>
    <xf numFmtId="0" fontId="16" fillId="0" borderId="0" xfId="4" applyFont="1" applyProtection="1">
      <protection locked="0"/>
    </xf>
    <xf numFmtId="0" fontId="15" fillId="0" borderId="0" xfId="4" applyFont="1" applyProtection="1">
      <protection locked="0"/>
    </xf>
    <xf numFmtId="0" fontId="15" fillId="6" borderId="0" xfId="4" applyFont="1" applyFill="1" applyProtection="1">
      <protection locked="0"/>
    </xf>
    <xf numFmtId="0" fontId="17" fillId="6" borderId="0" xfId="2" applyFont="1" applyFill="1" applyProtection="1">
      <protection locked="0"/>
    </xf>
    <xf numFmtId="1" fontId="8" fillId="7" borderId="27" xfId="1" applyNumberFormat="1" applyFont="1" applyFill="1" applyBorder="1" applyAlignment="1" applyProtection="1">
      <alignment horizontal="left" vertical="center" wrapText="1"/>
      <protection locked="0"/>
    </xf>
    <xf numFmtId="1" fontId="8" fillId="7" borderId="28" xfId="1" applyNumberFormat="1" applyFont="1" applyFill="1" applyBorder="1" applyAlignment="1" applyProtection="1">
      <alignment horizontal="left"/>
      <protection locked="0"/>
    </xf>
    <xf numFmtId="1" fontId="8" fillId="7" borderId="28" xfId="1" applyNumberFormat="1" applyFont="1" applyFill="1" applyBorder="1" applyAlignment="1" applyProtection="1">
      <alignment horizontal="left" wrapText="1"/>
      <protection locked="0"/>
    </xf>
    <xf numFmtId="1" fontId="8" fillId="7" borderId="28" xfId="1" applyNumberFormat="1" applyFont="1" applyFill="1" applyBorder="1" applyAlignment="1" applyProtection="1">
      <alignment horizontal="center" vertical="center" wrapText="1"/>
      <protection locked="0"/>
    </xf>
    <xf numFmtId="167" fontId="8" fillId="7" borderId="28" xfId="5" applyNumberFormat="1" applyFont="1" applyFill="1" applyBorder="1" applyAlignment="1" applyProtection="1">
      <alignment horizontal="center" vertical="center" wrapText="1"/>
      <protection locked="0"/>
    </xf>
    <xf numFmtId="1" fontId="8" fillId="7" borderId="29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1" applyFont="1" applyBorder="1" applyProtection="1">
      <protection locked="0"/>
    </xf>
    <xf numFmtId="0" fontId="9" fillId="0" borderId="21" xfId="1" applyFont="1" applyBorder="1" applyAlignment="1" applyProtection="1">
      <alignment horizontal="center"/>
      <protection locked="0"/>
    </xf>
    <xf numFmtId="0" fontId="9" fillId="0" borderId="22" xfId="1" applyFont="1" applyBorder="1" applyProtection="1">
      <protection locked="0"/>
    </xf>
    <xf numFmtId="0" fontId="9" fillId="0" borderId="26" xfId="1" applyFont="1" applyBorder="1" applyProtection="1">
      <protection locked="0"/>
    </xf>
    <xf numFmtId="9" fontId="9" fillId="0" borderId="26" xfId="1" applyNumberFormat="1" applyFont="1" applyBorder="1" applyAlignment="1" applyProtection="1">
      <alignment horizontal="center"/>
      <protection locked="0"/>
    </xf>
    <xf numFmtId="167" fontId="9" fillId="0" borderId="26" xfId="5" applyNumberFormat="1" applyFont="1" applyFill="1" applyBorder="1" applyAlignment="1" applyProtection="1">
      <alignment horizontal="center"/>
      <protection locked="0"/>
    </xf>
    <xf numFmtId="0" fontId="9" fillId="0" borderId="30" xfId="1" applyFont="1" applyBorder="1" applyAlignment="1" applyProtection="1">
      <alignment horizontal="center"/>
      <protection locked="0"/>
    </xf>
    <xf numFmtId="0" fontId="14" fillId="9" borderId="0" xfId="4" applyFill="1"/>
    <xf numFmtId="0" fontId="14" fillId="0" borderId="0" xfId="4"/>
    <xf numFmtId="0" fontId="18" fillId="0" borderId="0" xfId="4" applyFont="1"/>
    <xf numFmtId="0" fontId="14" fillId="0" borderId="0" xfId="4" applyAlignment="1">
      <alignment horizontal="right"/>
    </xf>
    <xf numFmtId="15" fontId="14" fillId="9" borderId="0" xfId="4" applyNumberFormat="1" applyFill="1"/>
    <xf numFmtId="0" fontId="19" fillId="0" borderId="0" xfId="4" applyFont="1"/>
    <xf numFmtId="0" fontId="19" fillId="0" borderId="0" xfId="4" applyFont="1" applyAlignment="1">
      <alignment horizontal="right"/>
    </xf>
    <xf numFmtId="0" fontId="2" fillId="10" borderId="31" xfId="4" applyFont="1" applyFill="1" applyBorder="1"/>
    <xf numFmtId="0" fontId="2" fillId="10" borderId="32" xfId="4" applyFont="1" applyFill="1" applyBorder="1" applyAlignment="1">
      <alignment horizontal="center"/>
    </xf>
    <xf numFmtId="0" fontId="2" fillId="10" borderId="28" xfId="4" applyFont="1" applyFill="1" applyBorder="1" applyAlignment="1">
      <alignment horizontal="center"/>
    </xf>
    <xf numFmtId="0" fontId="20" fillId="10" borderId="28" xfId="4" applyFont="1" applyFill="1" applyBorder="1" applyAlignment="1">
      <alignment horizontal="center"/>
    </xf>
    <xf numFmtId="0" fontId="2" fillId="10" borderId="28" xfId="4" applyFont="1" applyFill="1" applyBorder="1"/>
    <xf numFmtId="1" fontId="3" fillId="0" borderId="3" xfId="4" applyNumberFormat="1" applyFont="1" applyBorder="1" applyAlignment="1">
      <alignment horizontal="right"/>
    </xf>
    <xf numFmtId="1" fontId="8" fillId="0" borderId="3" xfId="4" applyNumberFormat="1" applyFont="1" applyBorder="1" applyAlignment="1">
      <alignment horizontal="right"/>
    </xf>
    <xf numFmtId="0" fontId="8" fillId="0" borderId="3" xfId="4" applyFont="1" applyBorder="1" applyAlignment="1">
      <alignment horizontal="right"/>
    </xf>
    <xf numFmtId="0" fontId="2" fillId="10" borderId="33" xfId="4" applyFont="1" applyFill="1" applyBorder="1"/>
    <xf numFmtId="0" fontId="2" fillId="10" borderId="34" xfId="4" applyFont="1" applyFill="1" applyBorder="1" applyAlignment="1">
      <alignment horizontal="center"/>
    </xf>
    <xf numFmtId="44" fontId="2" fillId="10" borderId="15" xfId="7" applyFont="1" applyFill="1" applyBorder="1" applyAlignment="1">
      <alignment horizontal="center"/>
    </xf>
    <xf numFmtId="44" fontId="20" fillId="10" borderId="15" xfId="7" applyFont="1" applyFill="1" applyBorder="1" applyAlignment="1">
      <alignment horizontal="center"/>
    </xf>
    <xf numFmtId="0" fontId="2" fillId="10" borderId="15" xfId="4" applyFont="1" applyFill="1" applyBorder="1"/>
    <xf numFmtId="170" fontId="3" fillId="11" borderId="35" xfId="4" applyNumberFormat="1" applyFont="1" applyFill="1" applyBorder="1" applyAlignment="1">
      <alignment horizontal="right"/>
    </xf>
    <xf numFmtId="170" fontId="3" fillId="11" borderId="6" xfId="4" applyNumberFormat="1" applyFont="1" applyFill="1" applyBorder="1" applyAlignment="1">
      <alignment horizontal="right"/>
    </xf>
    <xf numFmtId="0" fontId="3" fillId="12" borderId="28" xfId="4" applyFont="1" applyFill="1" applyBorder="1" applyAlignment="1">
      <alignment horizontal="center"/>
    </xf>
    <xf numFmtId="44" fontId="3" fillId="12" borderId="32" xfId="7" applyFont="1" applyFill="1" applyBorder="1" applyAlignment="1">
      <alignment horizontal="center"/>
    </xf>
    <xf numFmtId="44" fontId="21" fillId="12" borderId="36" xfId="7" applyFont="1" applyFill="1" applyBorder="1" applyAlignment="1">
      <alignment horizontal="center"/>
    </xf>
    <xf numFmtId="0" fontId="3" fillId="12" borderId="25" xfId="4" applyFont="1" applyFill="1" applyBorder="1"/>
    <xf numFmtId="0" fontId="3" fillId="0" borderId="3" xfId="4" applyFont="1" applyBorder="1" applyAlignment="1">
      <alignment horizontal="right"/>
    </xf>
    <xf numFmtId="0" fontId="2" fillId="0" borderId="3" xfId="4" applyFont="1" applyBorder="1" applyAlignment="1">
      <alignment horizontal="right"/>
    </xf>
    <xf numFmtId="0" fontId="3" fillId="12" borderId="15" xfId="4" applyFont="1" applyFill="1" applyBorder="1" applyAlignment="1">
      <alignment horizontal="center"/>
    </xf>
    <xf numFmtId="44" fontId="3" fillId="12" borderId="34" xfId="7" applyFont="1" applyFill="1" applyBorder="1" applyAlignment="1">
      <alignment horizontal="center"/>
    </xf>
    <xf numFmtId="44" fontId="21" fillId="12" borderId="0" xfId="7" applyFont="1" applyFill="1" applyBorder="1" applyAlignment="1">
      <alignment horizontal="center"/>
    </xf>
    <xf numFmtId="0" fontId="3" fillId="12" borderId="36" xfId="4" applyFont="1" applyFill="1" applyBorder="1"/>
    <xf numFmtId="170" fontId="3" fillId="0" borderId="35" xfId="4" applyNumberFormat="1" applyFont="1" applyBorder="1" applyAlignment="1">
      <alignment horizontal="right"/>
    </xf>
    <xf numFmtId="170" fontId="3" fillId="0" borderId="6" xfId="4" applyNumberFormat="1" applyFont="1" applyBorder="1" applyAlignment="1">
      <alignment horizontal="right"/>
    </xf>
    <xf numFmtId="0" fontId="3" fillId="12" borderId="0" xfId="4" applyFont="1" applyFill="1" applyAlignment="1">
      <alignment horizontal="center"/>
    </xf>
    <xf numFmtId="44" fontId="3" fillId="12" borderId="38" xfId="7" applyFont="1" applyFill="1" applyBorder="1"/>
    <xf numFmtId="44" fontId="21" fillId="12" borderId="36" xfId="7" applyFont="1" applyFill="1" applyBorder="1"/>
    <xf numFmtId="0" fontId="3" fillId="0" borderId="6" xfId="4" applyFont="1" applyBorder="1" applyAlignment="1">
      <alignment horizontal="right"/>
    </xf>
    <xf numFmtId="171" fontId="8" fillId="0" borderId="3" xfId="4" applyNumberFormat="1" applyFont="1" applyBorder="1" applyAlignment="1">
      <alignment horizontal="right"/>
    </xf>
    <xf numFmtId="171" fontId="2" fillId="0" borderId="3" xfId="4" applyNumberFormat="1" applyFont="1" applyBorder="1" applyAlignment="1">
      <alignment horizontal="right"/>
    </xf>
    <xf numFmtId="0" fontId="21" fillId="12" borderId="15" xfId="4" applyFont="1" applyFill="1" applyBorder="1"/>
    <xf numFmtId="44" fontId="8" fillId="12" borderId="32" xfId="7" applyFont="1" applyFill="1" applyBorder="1"/>
    <xf numFmtId="44" fontId="22" fillId="12" borderId="28" xfId="7" applyFont="1" applyFill="1" applyBorder="1"/>
    <xf numFmtId="0" fontId="3" fillId="12" borderId="39" xfId="4" applyFont="1" applyFill="1" applyBorder="1"/>
    <xf numFmtId="44" fontId="8" fillId="12" borderId="38" xfId="7" applyFont="1" applyFill="1" applyBorder="1"/>
    <xf numFmtId="44" fontId="22" fillId="12" borderId="0" xfId="7" applyFont="1" applyFill="1" applyBorder="1"/>
    <xf numFmtId="0" fontId="2" fillId="13" borderId="28" xfId="4" applyFont="1" applyFill="1" applyBorder="1" applyAlignment="1">
      <alignment horizontal="center"/>
    </xf>
    <xf numFmtId="44" fontId="2" fillId="13" borderId="32" xfId="7" applyFont="1" applyFill="1" applyBorder="1"/>
    <xf numFmtId="44" fontId="20" fillId="13" borderId="28" xfId="7" applyFont="1" applyFill="1" applyBorder="1"/>
    <xf numFmtId="0" fontId="2" fillId="13" borderId="39" xfId="4" applyFont="1" applyFill="1" applyBorder="1"/>
    <xf numFmtId="0" fontId="2" fillId="13" borderId="15" xfId="4" applyFont="1" applyFill="1" applyBorder="1" applyAlignment="1">
      <alignment horizontal="center"/>
    </xf>
    <xf numFmtId="44" fontId="2" fillId="13" borderId="34" xfId="7" applyFont="1" applyFill="1" applyBorder="1"/>
    <xf numFmtId="44" fontId="20" fillId="13" borderId="15" xfId="7" applyFont="1" applyFill="1" applyBorder="1"/>
    <xf numFmtId="0" fontId="2" fillId="13" borderId="40" xfId="4" applyFont="1" applyFill="1" applyBorder="1"/>
    <xf numFmtId="0" fontId="2" fillId="13" borderId="0" xfId="4" applyFont="1" applyFill="1" applyAlignment="1">
      <alignment horizontal="center"/>
    </xf>
    <xf numFmtId="44" fontId="20" fillId="13" borderId="0" xfId="7" applyFont="1" applyFill="1" applyBorder="1"/>
    <xf numFmtId="44" fontId="3" fillId="0" borderId="3" xfId="4" applyNumberFormat="1" applyFont="1" applyBorder="1" applyAlignment="1">
      <alignment horizontal="right"/>
    </xf>
    <xf numFmtId="44" fontId="2" fillId="13" borderId="38" xfId="7" applyFont="1" applyFill="1" applyBorder="1"/>
    <xf numFmtId="0" fontId="2" fillId="13" borderId="36" xfId="4" applyFont="1" applyFill="1" applyBorder="1"/>
    <xf numFmtId="0" fontId="8" fillId="9" borderId="28" xfId="4" applyFont="1" applyFill="1" applyBorder="1" applyAlignment="1">
      <alignment horizontal="center"/>
    </xf>
    <xf numFmtId="44" fontId="8" fillId="9" borderId="32" xfId="7" applyFont="1" applyFill="1" applyBorder="1"/>
    <xf numFmtId="44" fontId="22" fillId="9" borderId="28" xfId="7" applyFont="1" applyFill="1" applyBorder="1"/>
    <xf numFmtId="0" fontId="8" fillId="9" borderId="39" xfId="4" applyFont="1" applyFill="1" applyBorder="1"/>
    <xf numFmtId="0" fontId="8" fillId="9" borderId="15" xfId="4" applyFont="1" applyFill="1" applyBorder="1" applyAlignment="1">
      <alignment horizontal="center"/>
    </xf>
    <xf numFmtId="44" fontId="8" fillId="9" borderId="34" xfId="7" applyFont="1" applyFill="1" applyBorder="1"/>
    <xf numFmtId="0" fontId="22" fillId="9" borderId="15" xfId="4" applyFont="1" applyFill="1" applyBorder="1"/>
    <xf numFmtId="0" fontId="8" fillId="9" borderId="40" xfId="4" applyFont="1" applyFill="1" applyBorder="1"/>
    <xf numFmtId="0" fontId="8" fillId="9" borderId="0" xfId="4" applyFont="1" applyFill="1" applyAlignment="1">
      <alignment horizontal="center"/>
    </xf>
    <xf numFmtId="0" fontId="8" fillId="9" borderId="38" xfId="4" applyFont="1" applyFill="1" applyBorder="1"/>
    <xf numFmtId="0" fontId="22" fillId="9" borderId="0" xfId="4" applyFont="1" applyFill="1"/>
    <xf numFmtId="170" fontId="3" fillId="0" borderId="3" xfId="4" applyNumberFormat="1" applyFont="1" applyBorder="1" applyAlignment="1">
      <alignment horizontal="right"/>
    </xf>
    <xf numFmtId="170" fontId="8" fillId="0" borderId="3" xfId="4" applyNumberFormat="1" applyFont="1" applyBorder="1" applyAlignment="1">
      <alignment horizontal="right"/>
    </xf>
    <xf numFmtId="44" fontId="8" fillId="9" borderId="38" xfId="7" applyFont="1" applyFill="1" applyBorder="1"/>
    <xf numFmtId="44" fontId="22" fillId="9" borderId="0" xfId="7" applyFont="1" applyFill="1" applyBorder="1"/>
    <xf numFmtId="0" fontId="8" fillId="9" borderId="36" xfId="4" applyFont="1" applyFill="1" applyBorder="1"/>
    <xf numFmtId="2" fontId="20" fillId="13" borderId="28" xfId="4" applyNumberFormat="1" applyFont="1" applyFill="1" applyBorder="1"/>
    <xf numFmtId="0" fontId="20" fillId="13" borderId="15" xfId="4" applyFont="1" applyFill="1" applyBorder="1"/>
    <xf numFmtId="170" fontId="3" fillId="0" borderId="41" xfId="4" applyNumberFormat="1" applyFont="1" applyBorder="1" applyAlignment="1">
      <alignment horizontal="right"/>
    </xf>
    <xf numFmtId="2" fontId="2" fillId="13" borderId="32" xfId="4" applyNumberFormat="1" applyFont="1" applyFill="1" applyBorder="1"/>
    <xf numFmtId="0" fontId="2" fillId="13" borderId="34" xfId="4" applyFont="1" applyFill="1" applyBorder="1"/>
    <xf numFmtId="170" fontId="8" fillId="0" borderId="4" xfId="4" applyNumberFormat="1" applyFont="1" applyBorder="1" applyAlignment="1">
      <alignment horizontal="right"/>
    </xf>
    <xf numFmtId="0" fontId="8" fillId="9" borderId="40" xfId="4" applyFont="1" applyFill="1" applyBorder="1" applyAlignment="1">
      <alignment horizontal="center"/>
    </xf>
    <xf numFmtId="44" fontId="22" fillId="9" borderId="15" xfId="7" applyFont="1" applyFill="1" applyBorder="1"/>
    <xf numFmtId="44" fontId="3" fillId="9" borderId="32" xfId="7" applyFont="1" applyFill="1" applyBorder="1"/>
    <xf numFmtId="2" fontId="2" fillId="13" borderId="34" xfId="4" applyNumberFormat="1" applyFont="1" applyFill="1" applyBorder="1"/>
    <xf numFmtId="171" fontId="3" fillId="0" borderId="0" xfId="4" applyNumberFormat="1" applyFont="1" applyAlignment="1">
      <alignment horizontal="right"/>
    </xf>
    <xf numFmtId="0" fontId="24" fillId="0" borderId="0" xfId="4" applyFont="1"/>
    <xf numFmtId="0" fontId="25" fillId="0" borderId="0" xfId="4" applyFont="1"/>
    <xf numFmtId="0" fontId="14" fillId="0" borderId="0" xfId="4" applyBorder="1"/>
    <xf numFmtId="0" fontId="19" fillId="0" borderId="0" xfId="4" applyFont="1" applyBorder="1"/>
    <xf numFmtId="170" fontId="3" fillId="5" borderId="42" xfId="4" applyNumberFormat="1" applyFont="1" applyFill="1" applyBorder="1" applyAlignment="1">
      <alignment horizontal="right"/>
    </xf>
    <xf numFmtId="170" fontId="3" fillId="5" borderId="43" xfId="4" applyNumberFormat="1" applyFont="1" applyFill="1" applyBorder="1" applyAlignment="1">
      <alignment horizontal="right"/>
    </xf>
    <xf numFmtId="170" fontId="3" fillId="5" borderId="35" xfId="4" applyNumberFormat="1" applyFont="1" applyFill="1" applyBorder="1" applyAlignment="1">
      <alignment horizontal="right"/>
    </xf>
    <xf numFmtId="170" fontId="8" fillId="5" borderId="3" xfId="4" applyNumberFormat="1" applyFont="1" applyFill="1" applyBorder="1" applyAlignment="1">
      <alignment horizontal="right"/>
    </xf>
    <xf numFmtId="1" fontId="3" fillId="5" borderId="3" xfId="4" applyNumberFormat="1" applyFont="1" applyFill="1" applyBorder="1" applyAlignment="1">
      <alignment horizontal="right"/>
    </xf>
    <xf numFmtId="170" fontId="3" fillId="6" borderId="6" xfId="4" applyNumberFormat="1" applyFont="1" applyFill="1" applyBorder="1" applyAlignment="1">
      <alignment horizontal="right"/>
    </xf>
    <xf numFmtId="170" fontId="3" fillId="5" borderId="41" xfId="4" applyNumberFormat="1" applyFont="1" applyFill="1" applyBorder="1" applyAlignment="1">
      <alignment horizontal="right"/>
    </xf>
    <xf numFmtId="170" fontId="3" fillId="5" borderId="6" xfId="4" applyNumberFormat="1" applyFont="1" applyFill="1" applyBorder="1" applyAlignment="1">
      <alignment horizontal="right"/>
    </xf>
    <xf numFmtId="44" fontId="3" fillId="0" borderId="41" xfId="4" applyNumberFormat="1" applyFont="1" applyBorder="1" applyAlignment="1">
      <alignment horizontal="right"/>
    </xf>
    <xf numFmtId="0" fontId="3" fillId="5" borderId="3" xfId="4" applyFont="1" applyFill="1" applyBorder="1" applyAlignment="1">
      <alignment horizontal="right"/>
    </xf>
    <xf numFmtId="171" fontId="8" fillId="5" borderId="3" xfId="4" applyNumberFormat="1" applyFont="1" applyFill="1" applyBorder="1" applyAlignment="1">
      <alignment horizontal="right"/>
    </xf>
    <xf numFmtId="169" fontId="9" fillId="0" borderId="26" xfId="6" applyNumberFormat="1" applyFont="1" applyFill="1" applyBorder="1" applyAlignment="1" applyProtection="1">
      <alignment horizontal="left"/>
      <protection locked="0"/>
    </xf>
    <xf numFmtId="0" fontId="8" fillId="9" borderId="4" xfId="4" applyFont="1" applyFill="1" applyBorder="1" applyAlignment="1">
      <alignment vertical="center"/>
    </xf>
    <xf numFmtId="0" fontId="8" fillId="9" borderId="16" xfId="4" applyFont="1" applyFill="1" applyBorder="1" applyAlignment="1">
      <alignment vertical="center"/>
    </xf>
    <xf numFmtId="0" fontId="2" fillId="13" borderId="31" xfId="4" applyFont="1" applyFill="1" applyBorder="1" applyAlignment="1">
      <alignment vertical="center"/>
    </xf>
    <xf numFmtId="0" fontId="14" fillId="0" borderId="37" xfId="4" applyBorder="1" applyAlignment="1">
      <alignment vertical="center"/>
    </xf>
    <xf numFmtId="0" fontId="14" fillId="0" borderId="33" xfId="4" applyBorder="1" applyAlignment="1">
      <alignment vertical="center"/>
    </xf>
    <xf numFmtId="0" fontId="3" fillId="12" borderId="31" xfId="4" applyFont="1" applyFill="1" applyBorder="1" applyAlignment="1">
      <alignment vertical="center"/>
    </xf>
    <xf numFmtId="0" fontId="8" fillId="9" borderId="31" xfId="4" applyFont="1" applyFill="1" applyBorder="1" applyAlignment="1">
      <alignment vertical="center"/>
    </xf>
    <xf numFmtId="0" fontId="23" fillId="9" borderId="37" xfId="4" applyFont="1" applyFill="1" applyBorder="1" applyAlignment="1">
      <alignment vertical="center"/>
    </xf>
    <xf numFmtId="0" fontId="23" fillId="9" borderId="33" xfId="4" applyFont="1" applyFill="1" applyBorder="1" applyAlignment="1">
      <alignment vertical="center"/>
    </xf>
  </cellXfs>
  <cellStyles count="8">
    <cellStyle name="Comma 2" xfId="3" xr:uid="{013FAAB8-641C-4977-B99E-462B88B19372}"/>
    <cellStyle name="Comma 3" xfId="5" xr:uid="{F3AE9D5B-67FC-4CB6-A5BA-1D1E7B5EF61A}"/>
    <cellStyle name="Currency 3" xfId="7" xr:uid="{A719DEC8-8A4D-4A9C-AB6A-9B49F14522C1}"/>
    <cellStyle name="Normal" xfId="0" builtinId="0"/>
    <cellStyle name="Normal 2 2" xfId="4" xr:uid="{73C0DDAB-61F0-48F5-89BE-42831687A4AC}"/>
    <cellStyle name="Normal 3" xfId="1" xr:uid="{6B7EE670-B4E3-46F7-907B-3405448186CB}"/>
    <cellStyle name="Normal_RETAIL AND SAFETY  KPIs FULL YEAR VERIFICATION ISSUED" xfId="2" xr:uid="{964B5D49-2567-47C5-B21A-57156FEF145A}"/>
    <cellStyle name="Percent 2" xfId="6" xr:uid="{D41213FC-7F42-4BF7-887F-839DD7F07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AD4C-9EB6-498C-8420-EBA907925491}">
  <sheetPr>
    <pageSetUpPr fitToPage="1"/>
  </sheetPr>
  <dimension ref="A1:M59"/>
  <sheetViews>
    <sheetView tabSelected="1" zoomScale="70" zoomScaleNormal="70" workbookViewId="0">
      <selection activeCell="D9" sqref="D9"/>
    </sheetView>
  </sheetViews>
  <sheetFormatPr defaultColWidth="7" defaultRowHeight="14.25"/>
  <cols>
    <col min="1" max="1" width="3.625" style="52" customWidth="1"/>
    <col min="2" max="2" width="37" style="52" customWidth="1"/>
    <col min="3" max="3" width="21.25" style="52" customWidth="1"/>
    <col min="4" max="4" width="15.75" style="52" customWidth="1"/>
    <col min="5" max="5" width="14.625" style="52" customWidth="1"/>
    <col min="6" max="6" width="34.125" style="52" customWidth="1"/>
    <col min="7" max="9" width="21.875" style="52" customWidth="1"/>
    <col min="10" max="10" width="18.5" style="52" customWidth="1"/>
    <col min="11" max="11" width="27.75" style="52" customWidth="1"/>
    <col min="12" max="12" width="27.5" style="52" customWidth="1"/>
    <col min="13" max="13" width="62.5" style="52" customWidth="1"/>
    <col min="14" max="16384" width="7" style="52"/>
  </cols>
  <sheetData>
    <row r="1" spans="1:13" ht="15">
      <c r="D1" s="53"/>
    </row>
    <row r="2" spans="1:13" ht="15">
      <c r="B2" s="54" t="s">
        <v>41</v>
      </c>
      <c r="C2" s="55"/>
      <c r="D2" s="53"/>
    </row>
    <row r="3" spans="1:13" ht="15">
      <c r="B3" s="55" t="s">
        <v>42</v>
      </c>
      <c r="C3" s="55" t="s">
        <v>43</v>
      </c>
      <c r="D3" s="53"/>
    </row>
    <row r="4" spans="1:13" ht="15">
      <c r="B4" s="55"/>
      <c r="C4" s="54" t="s">
        <v>44</v>
      </c>
      <c r="D4" s="53"/>
    </row>
    <row r="5" spans="1:13" ht="15">
      <c r="B5" s="55" t="s">
        <v>159</v>
      </c>
      <c r="C5" s="55">
        <f>+H25</f>
        <v>3837</v>
      </c>
      <c r="D5" s="53"/>
    </row>
    <row r="6" spans="1:13" ht="15">
      <c r="B6" s="55" t="s">
        <v>160</v>
      </c>
      <c r="C6" s="55">
        <f>+H31</f>
        <v>1292</v>
      </c>
      <c r="D6" s="53"/>
    </row>
    <row r="7" spans="1:13" ht="15">
      <c r="B7" s="55" t="s">
        <v>45</v>
      </c>
      <c r="C7" s="55" t="s">
        <v>46</v>
      </c>
      <c r="D7" s="53"/>
    </row>
    <row r="8" spans="1:13" ht="15">
      <c r="B8" s="55"/>
      <c r="C8" s="56"/>
      <c r="D8" s="53"/>
    </row>
    <row r="9" spans="1:13" ht="15">
      <c r="D9" s="53"/>
    </row>
    <row r="10" spans="1:13" ht="15">
      <c r="B10" s="52" t="s">
        <v>47</v>
      </c>
      <c r="D10" s="53"/>
    </row>
    <row r="11" spans="1:13" s="57" customFormat="1" ht="15">
      <c r="B11" s="58" t="s">
        <v>48</v>
      </c>
      <c r="C11" s="59">
        <f>+H38</f>
        <v>893</v>
      </c>
      <c r="D11" s="53"/>
      <c r="E11" s="52"/>
      <c r="F11" s="52"/>
      <c r="G11" s="52"/>
      <c r="H11" s="60"/>
      <c r="I11" s="61"/>
      <c r="J11" s="61"/>
      <c r="K11" s="61"/>
      <c r="L11" s="62"/>
    </row>
    <row r="12" spans="1:13" s="57" customFormat="1" ht="15">
      <c r="B12" s="59" t="s">
        <v>49</v>
      </c>
      <c r="C12" s="59">
        <f>+SUM(H39:H39)</f>
        <v>25</v>
      </c>
      <c r="D12" s="53"/>
      <c r="E12" s="52"/>
      <c r="F12" s="52"/>
      <c r="G12" s="52"/>
      <c r="H12" s="60"/>
      <c r="I12" s="61"/>
      <c r="J12" s="61"/>
      <c r="K12" s="61"/>
      <c r="L12" s="62"/>
    </row>
    <row r="13" spans="1:13" s="57" customFormat="1" ht="15">
      <c r="B13" s="63"/>
      <c r="C13" s="63"/>
      <c r="D13" s="53"/>
      <c r="E13" s="61"/>
      <c r="F13" s="64"/>
      <c r="G13" s="65"/>
      <c r="H13" s="65"/>
      <c r="L13" s="66"/>
    </row>
    <row r="14" spans="1:13" s="71" customFormat="1" ht="15">
      <c r="A14" s="57"/>
      <c r="B14" s="67" t="s">
        <v>50</v>
      </c>
      <c r="C14" s="67"/>
      <c r="D14" s="68"/>
      <c r="E14" s="68"/>
      <c r="F14" s="69"/>
      <c r="G14" s="70"/>
    </row>
    <row r="15" spans="1:13" s="57" customFormat="1" ht="27.75" customHeight="1" thickBot="1">
      <c r="B15" s="72"/>
      <c r="C15" s="73" t="s">
        <v>51</v>
      </c>
      <c r="D15" s="74" t="s">
        <v>52</v>
      </c>
      <c r="E15" s="74" t="s">
        <v>53</v>
      </c>
      <c r="F15" s="74" t="s">
        <v>54</v>
      </c>
      <c r="G15" s="75" t="s">
        <v>55</v>
      </c>
      <c r="H15" s="76" t="s">
        <v>56</v>
      </c>
      <c r="I15" s="77" t="s">
        <v>57</v>
      </c>
      <c r="J15" s="78" t="s">
        <v>58</v>
      </c>
      <c r="K15" s="78" t="s">
        <v>59</v>
      </c>
      <c r="L15" s="79" t="s">
        <v>60</v>
      </c>
      <c r="M15" s="80" t="s">
        <v>1</v>
      </c>
    </row>
    <row r="16" spans="1:13" s="57" customFormat="1" ht="17.25" customHeight="1" thickBot="1">
      <c r="B16" s="81" t="s">
        <v>61</v>
      </c>
      <c r="C16" s="82"/>
      <c r="D16" s="83"/>
      <c r="E16" s="84"/>
      <c r="F16" s="84"/>
      <c r="G16" s="85" t="s">
        <v>44</v>
      </c>
      <c r="H16" s="85" t="s">
        <v>44</v>
      </c>
      <c r="I16" s="84"/>
      <c r="J16" s="84"/>
      <c r="K16" s="84" t="s">
        <v>62</v>
      </c>
      <c r="L16" s="86" t="s">
        <v>62</v>
      </c>
      <c r="M16" s="87"/>
    </row>
    <row r="17" spans="2:13" s="57" customFormat="1" ht="21" customHeight="1">
      <c r="B17" s="88" t="s">
        <v>63</v>
      </c>
      <c r="C17" s="89" t="s">
        <v>64</v>
      </c>
      <c r="D17" s="90" t="s">
        <v>65</v>
      </c>
      <c r="E17" s="91">
        <v>1</v>
      </c>
      <c r="F17" s="91"/>
      <c r="G17" s="92">
        <v>732</v>
      </c>
      <c r="H17" s="92">
        <v>732</v>
      </c>
      <c r="I17" s="93" t="s">
        <v>66</v>
      </c>
      <c r="J17" s="93">
        <v>1996</v>
      </c>
      <c r="K17" s="94">
        <v>0.4627</v>
      </c>
      <c r="L17" s="95">
        <v>0.55000000000000004</v>
      </c>
      <c r="M17" s="96"/>
    </row>
    <row r="18" spans="2:13" s="57" customFormat="1" ht="21" customHeight="1">
      <c r="B18" s="88" t="s">
        <v>67</v>
      </c>
      <c r="C18" s="89" t="s">
        <v>64</v>
      </c>
      <c r="D18" s="90" t="s">
        <v>68</v>
      </c>
      <c r="E18" s="91">
        <v>1</v>
      </c>
      <c r="F18" s="91"/>
      <c r="G18" s="92">
        <v>23</v>
      </c>
      <c r="H18" s="92">
        <v>23</v>
      </c>
      <c r="I18" s="93" t="s">
        <v>66</v>
      </c>
      <c r="J18" s="93">
        <v>2000</v>
      </c>
      <c r="K18" s="94">
        <v>0.26869999999999999</v>
      </c>
      <c r="L18" s="95">
        <v>0.32400000000000001</v>
      </c>
      <c r="M18" s="96" t="s">
        <v>69</v>
      </c>
    </row>
    <row r="19" spans="2:13" s="57" customFormat="1" ht="17.25" customHeight="1">
      <c r="B19" s="88" t="s">
        <v>10</v>
      </c>
      <c r="C19" s="89" t="s">
        <v>64</v>
      </c>
      <c r="D19" s="90" t="s">
        <v>65</v>
      </c>
      <c r="E19" s="91">
        <v>1</v>
      </c>
      <c r="F19" s="91"/>
      <c r="G19" s="92">
        <v>735</v>
      </c>
      <c r="H19" s="92">
        <v>735</v>
      </c>
      <c r="I19" s="93" t="s">
        <v>66</v>
      </c>
      <c r="J19" s="93">
        <v>1995</v>
      </c>
      <c r="K19" s="94">
        <v>0.45579999999999998</v>
      </c>
      <c r="L19" s="95">
        <v>0.54500000000000004</v>
      </c>
      <c r="M19" s="96"/>
    </row>
    <row r="20" spans="2:13" s="57" customFormat="1" ht="17.25" customHeight="1">
      <c r="B20" s="88" t="s">
        <v>11</v>
      </c>
      <c r="C20" s="89" t="s">
        <v>70</v>
      </c>
      <c r="D20" s="90" t="s">
        <v>65</v>
      </c>
      <c r="E20" s="91">
        <v>1</v>
      </c>
      <c r="F20" s="91"/>
      <c r="G20" s="92">
        <v>1180</v>
      </c>
      <c r="H20" s="92">
        <v>1180</v>
      </c>
      <c r="I20" s="93" t="s">
        <v>66</v>
      </c>
      <c r="J20" s="93" t="s">
        <v>71</v>
      </c>
      <c r="K20" s="94">
        <v>0.46850000000000003</v>
      </c>
      <c r="L20" s="95">
        <v>0.56599999999999995</v>
      </c>
      <c r="M20" s="96"/>
    </row>
    <row r="21" spans="2:13" s="57" customFormat="1" ht="17.25" customHeight="1">
      <c r="B21" s="88" t="s">
        <v>12</v>
      </c>
      <c r="C21" s="89" t="s">
        <v>64</v>
      </c>
      <c r="D21" s="90" t="s">
        <v>65</v>
      </c>
      <c r="E21" s="91">
        <v>0.5</v>
      </c>
      <c r="F21" s="91" t="s">
        <v>72</v>
      </c>
      <c r="G21" s="92">
        <v>1234</v>
      </c>
      <c r="H21" s="92">
        <v>617</v>
      </c>
      <c r="I21" s="93" t="s">
        <v>66</v>
      </c>
      <c r="J21" s="93">
        <v>2000</v>
      </c>
      <c r="K21" s="94">
        <v>0.47870000000000001</v>
      </c>
      <c r="L21" s="95">
        <v>0.55300000000000005</v>
      </c>
      <c r="M21" s="89"/>
    </row>
    <row r="22" spans="2:13" s="57" customFormat="1" ht="17.25" customHeight="1">
      <c r="B22" s="88" t="s">
        <v>14</v>
      </c>
      <c r="C22" s="89" t="s">
        <v>64</v>
      </c>
      <c r="D22" s="90" t="s">
        <v>65</v>
      </c>
      <c r="E22" s="91">
        <v>0.5</v>
      </c>
      <c r="F22" s="91" t="s">
        <v>73</v>
      </c>
      <c r="G22" s="92">
        <v>920</v>
      </c>
      <c r="H22" s="92">
        <v>460</v>
      </c>
      <c r="I22" s="93" t="s">
        <v>66</v>
      </c>
      <c r="J22" s="93">
        <v>2010</v>
      </c>
      <c r="K22" s="94">
        <v>0.56479999999999997</v>
      </c>
      <c r="L22" s="95">
        <v>0.58499999999999996</v>
      </c>
      <c r="M22" s="89"/>
    </row>
    <row r="23" spans="2:13" s="57" customFormat="1" ht="17.25" customHeight="1">
      <c r="B23" s="88" t="s">
        <v>74</v>
      </c>
      <c r="C23" s="89" t="s">
        <v>64</v>
      </c>
      <c r="D23" s="90" t="s">
        <v>65</v>
      </c>
      <c r="E23" s="91">
        <v>1</v>
      </c>
      <c r="F23" s="91"/>
      <c r="G23" s="92">
        <v>45</v>
      </c>
      <c r="H23" s="92">
        <v>45</v>
      </c>
      <c r="I23" s="93" t="s">
        <v>66</v>
      </c>
      <c r="J23" s="93">
        <v>1999</v>
      </c>
      <c r="K23" s="94">
        <v>0.34970000000000001</v>
      </c>
      <c r="L23" s="95">
        <v>0.40200000000000002</v>
      </c>
      <c r="M23" s="96" t="s">
        <v>69</v>
      </c>
    </row>
    <row r="24" spans="2:13" s="57" customFormat="1" ht="17.25" customHeight="1">
      <c r="B24" s="88" t="s">
        <v>75</v>
      </c>
      <c r="C24" s="89" t="s">
        <v>64</v>
      </c>
      <c r="D24" s="90" t="s">
        <v>68</v>
      </c>
      <c r="E24" s="91">
        <v>1</v>
      </c>
      <c r="F24" s="91"/>
      <c r="G24" s="92">
        <v>45</v>
      </c>
      <c r="H24" s="92">
        <v>45</v>
      </c>
      <c r="I24" s="93" t="s">
        <v>66</v>
      </c>
      <c r="J24" s="93">
        <v>1999</v>
      </c>
      <c r="K24" s="94">
        <v>0.33460000000000001</v>
      </c>
      <c r="L24" s="95">
        <v>0.38300000000000001</v>
      </c>
      <c r="M24" s="96" t="s">
        <v>69</v>
      </c>
    </row>
    <row r="25" spans="2:13" s="57" customFormat="1" ht="17.25" customHeight="1" thickBot="1">
      <c r="B25" s="97" t="s">
        <v>76</v>
      </c>
      <c r="C25" s="98"/>
      <c r="D25" s="99"/>
      <c r="E25" s="100"/>
      <c r="F25" s="100"/>
      <c r="G25" s="101">
        <f>SUM(G17:G24)</f>
        <v>4914</v>
      </c>
      <c r="H25" s="101">
        <f>SUM(H17:H24)</f>
        <v>3837</v>
      </c>
      <c r="I25" s="102"/>
      <c r="J25" s="102"/>
      <c r="K25" s="102"/>
      <c r="L25" s="103"/>
      <c r="M25" s="104"/>
    </row>
    <row r="26" spans="2:13" s="57" customFormat="1" ht="17.25" customHeight="1" thickBot="1">
      <c r="B26" s="81" t="s">
        <v>77</v>
      </c>
      <c r="C26" s="82"/>
      <c r="D26" s="83"/>
      <c r="E26" s="84"/>
      <c r="F26" s="84"/>
      <c r="G26" s="85"/>
      <c r="H26" s="85"/>
      <c r="I26" s="84"/>
      <c r="J26" s="84"/>
      <c r="K26" s="84"/>
      <c r="L26" s="86"/>
      <c r="M26" s="87"/>
    </row>
    <row r="27" spans="2:13" s="57" customFormat="1" ht="17.25" customHeight="1">
      <c r="B27" s="88" t="s">
        <v>78</v>
      </c>
      <c r="C27" s="89" t="s">
        <v>79</v>
      </c>
      <c r="D27" s="90" t="s">
        <v>65</v>
      </c>
      <c r="E27" s="91">
        <v>1</v>
      </c>
      <c r="F27" s="91"/>
      <c r="G27" s="92">
        <v>464</v>
      </c>
      <c r="H27" s="92">
        <v>464</v>
      </c>
      <c r="I27" s="93" t="s">
        <v>66</v>
      </c>
      <c r="J27" s="93">
        <v>2014</v>
      </c>
      <c r="K27" s="94">
        <v>0.48320000000000002</v>
      </c>
      <c r="L27" s="95">
        <v>0.57599999999999996</v>
      </c>
      <c r="M27" s="96"/>
    </row>
    <row r="28" spans="2:13" s="57" customFormat="1" ht="17.25" customHeight="1">
      <c r="B28" s="88" t="s">
        <v>80</v>
      </c>
      <c r="C28" s="89" t="s">
        <v>79</v>
      </c>
      <c r="D28" s="90" t="s">
        <v>81</v>
      </c>
      <c r="E28" s="91">
        <v>1</v>
      </c>
      <c r="F28" s="91"/>
      <c r="G28" s="92">
        <v>620</v>
      </c>
      <c r="H28" s="92">
        <v>620</v>
      </c>
      <c r="I28" s="93" t="s">
        <v>66</v>
      </c>
      <c r="J28" s="93" t="s">
        <v>82</v>
      </c>
      <c r="K28" s="94">
        <v>0.32629999999999998</v>
      </c>
      <c r="L28" s="95" t="s">
        <v>83</v>
      </c>
      <c r="M28" s="96" t="s">
        <v>69</v>
      </c>
    </row>
    <row r="29" spans="2:13" s="57" customFormat="1" ht="17.25" customHeight="1">
      <c r="B29" s="88" t="s">
        <v>84</v>
      </c>
      <c r="C29" s="105" t="s">
        <v>79</v>
      </c>
      <c r="D29" s="106" t="s">
        <v>68</v>
      </c>
      <c r="E29" s="91">
        <v>1</v>
      </c>
      <c r="F29" s="91"/>
      <c r="G29" s="92">
        <v>104</v>
      </c>
      <c r="H29" s="92">
        <v>104</v>
      </c>
      <c r="I29" s="93" t="s">
        <v>66</v>
      </c>
      <c r="J29" s="93">
        <v>2004</v>
      </c>
      <c r="K29" s="94">
        <v>0.31390000000000001</v>
      </c>
      <c r="L29" s="95">
        <v>0.34300000000000003</v>
      </c>
      <c r="M29" s="96" t="s">
        <v>69</v>
      </c>
    </row>
    <row r="30" spans="2:13" s="57" customFormat="1" ht="17.25" customHeight="1">
      <c r="B30" s="88" t="s">
        <v>24</v>
      </c>
      <c r="C30" s="89" t="s">
        <v>79</v>
      </c>
      <c r="D30" s="90" t="s">
        <v>68</v>
      </c>
      <c r="E30" s="91">
        <v>1</v>
      </c>
      <c r="F30" s="91"/>
      <c r="G30" s="92">
        <v>104</v>
      </c>
      <c r="H30" s="92">
        <v>104</v>
      </c>
      <c r="I30" s="93" t="s">
        <v>66</v>
      </c>
      <c r="J30" s="93">
        <v>2003</v>
      </c>
      <c r="K30" s="94">
        <v>0.31230000000000002</v>
      </c>
      <c r="L30" s="95">
        <v>0.34300000000000003</v>
      </c>
      <c r="M30" s="96" t="s">
        <v>69</v>
      </c>
    </row>
    <row r="31" spans="2:13" s="57" customFormat="1" ht="17.25" customHeight="1">
      <c r="B31" s="97" t="s">
        <v>76</v>
      </c>
      <c r="C31" s="98"/>
      <c r="D31" s="99"/>
      <c r="E31" s="100"/>
      <c r="F31" s="100"/>
      <c r="G31" s="101">
        <f>SUM(G27:G30)</f>
        <v>1292</v>
      </c>
      <c r="H31" s="101">
        <f>SUM(H27:H30)</f>
        <v>1292</v>
      </c>
      <c r="I31" s="100"/>
      <c r="J31" s="100"/>
      <c r="K31" s="100"/>
      <c r="L31" s="103"/>
      <c r="M31" s="107"/>
    </row>
    <row r="32" spans="2:13" s="57" customFormat="1" ht="15.75" thickBot="1">
      <c r="B32" s="108" t="s">
        <v>85</v>
      </c>
      <c r="C32" s="82"/>
      <c r="D32" s="83"/>
      <c r="E32" s="84"/>
      <c r="F32" s="84"/>
      <c r="G32" s="85"/>
      <c r="H32" s="85"/>
      <c r="I32" s="84"/>
      <c r="J32" s="84"/>
      <c r="K32" s="84"/>
      <c r="L32" s="86"/>
      <c r="M32" s="87"/>
    </row>
    <row r="33" spans="1:13" s="57" customFormat="1" ht="18.75" customHeight="1">
      <c r="B33" s="88" t="s">
        <v>86</v>
      </c>
      <c r="C33" s="89" t="s">
        <v>64</v>
      </c>
      <c r="D33" s="90" t="s">
        <v>87</v>
      </c>
      <c r="E33" s="91">
        <v>1</v>
      </c>
      <c r="F33" s="93"/>
      <c r="G33" s="109" t="s">
        <v>88</v>
      </c>
      <c r="H33" s="109">
        <v>0</v>
      </c>
      <c r="I33" s="110" t="s">
        <v>89</v>
      </c>
      <c r="J33" s="110" t="s">
        <v>90</v>
      </c>
      <c r="K33" s="110" t="s">
        <v>91</v>
      </c>
      <c r="L33" s="111" t="s">
        <v>91</v>
      </c>
      <c r="M33" s="112" t="s">
        <v>92</v>
      </c>
    </row>
    <row r="34" spans="1:13" s="57" customFormat="1" ht="19.899999999999999" customHeight="1">
      <c r="B34" s="88" t="s">
        <v>93</v>
      </c>
      <c r="C34" s="89" t="s">
        <v>64</v>
      </c>
      <c r="D34" s="90" t="s">
        <v>87</v>
      </c>
      <c r="E34" s="91">
        <v>1</v>
      </c>
      <c r="F34" s="91"/>
      <c r="G34" s="113" t="s">
        <v>88</v>
      </c>
      <c r="H34" s="109">
        <v>0</v>
      </c>
      <c r="I34" s="110" t="s">
        <v>89</v>
      </c>
      <c r="J34" s="110" t="s">
        <v>94</v>
      </c>
      <c r="K34" s="110" t="s">
        <v>91</v>
      </c>
      <c r="L34" s="114" t="s">
        <v>91</v>
      </c>
      <c r="M34" s="112" t="s">
        <v>92</v>
      </c>
    </row>
    <row r="35" spans="1:13" s="57" customFormat="1" ht="16.5" customHeight="1">
      <c r="B35" s="97" t="s">
        <v>76</v>
      </c>
      <c r="C35" s="98"/>
      <c r="D35" s="99"/>
      <c r="E35" s="100"/>
      <c r="F35" s="100"/>
      <c r="G35" s="101">
        <f>SUM(G33:G34)</f>
        <v>0</v>
      </c>
      <c r="H35" s="101">
        <f>SUM(H33:H34)</f>
        <v>0</v>
      </c>
      <c r="I35" s="100"/>
      <c r="J35" s="100"/>
      <c r="K35" s="100"/>
      <c r="L35" s="103"/>
      <c r="M35" s="107"/>
    </row>
    <row r="36" spans="1:13" s="57" customFormat="1">
      <c r="B36" s="115"/>
      <c r="C36" s="116"/>
      <c r="D36" s="117"/>
      <c r="E36" s="118"/>
      <c r="F36" s="118"/>
      <c r="G36" s="119"/>
      <c r="H36" s="119"/>
      <c r="I36" s="118"/>
      <c r="J36" s="118"/>
      <c r="K36" s="118"/>
      <c r="L36" s="120"/>
      <c r="M36" s="121"/>
    </row>
    <row r="37" spans="1:13" s="57" customFormat="1" ht="17.25" customHeight="1" thickBot="1">
      <c r="B37" s="108" t="s">
        <v>47</v>
      </c>
      <c r="C37" s="82"/>
      <c r="D37" s="83"/>
      <c r="E37" s="84"/>
      <c r="F37" s="84"/>
      <c r="G37" s="85"/>
      <c r="H37" s="85"/>
      <c r="I37" s="84"/>
      <c r="J37" s="84"/>
      <c r="K37" s="84"/>
      <c r="L37" s="86"/>
      <c r="M37" s="87"/>
    </row>
    <row r="38" spans="1:13" s="57" customFormat="1" ht="22.5" customHeight="1">
      <c r="B38" s="122" t="s">
        <v>48</v>
      </c>
      <c r="C38" s="116" t="s">
        <v>64</v>
      </c>
      <c r="D38" s="90" t="s">
        <v>65</v>
      </c>
      <c r="E38" s="123">
        <v>1</v>
      </c>
      <c r="F38" s="123"/>
      <c r="G38" s="124">
        <v>893</v>
      </c>
      <c r="H38" s="124">
        <v>893</v>
      </c>
      <c r="I38" s="118" t="s">
        <v>66</v>
      </c>
      <c r="J38" s="110" t="s">
        <v>18</v>
      </c>
      <c r="K38" s="118" t="s">
        <v>91</v>
      </c>
      <c r="L38" s="95">
        <v>0.63</v>
      </c>
      <c r="M38" s="121" t="s">
        <v>95</v>
      </c>
    </row>
    <row r="39" spans="1:13" s="57" customFormat="1" ht="21" customHeight="1">
      <c r="B39" s="122" t="s">
        <v>96</v>
      </c>
      <c r="C39" s="116" t="s">
        <v>64</v>
      </c>
      <c r="D39" s="90" t="s">
        <v>49</v>
      </c>
      <c r="E39" s="123">
        <v>0.5</v>
      </c>
      <c r="F39" s="123" t="s">
        <v>97</v>
      </c>
      <c r="G39" s="124">
        <v>50</v>
      </c>
      <c r="H39" s="124">
        <f>+G39*E39</f>
        <v>25</v>
      </c>
      <c r="I39" s="118" t="s">
        <v>66</v>
      </c>
      <c r="J39" s="110" t="s">
        <v>18</v>
      </c>
      <c r="L39" s="95"/>
      <c r="M39" s="121" t="s">
        <v>98</v>
      </c>
    </row>
    <row r="40" spans="1:13" s="57" customFormat="1" ht="22.5" customHeight="1">
      <c r="B40" s="97"/>
      <c r="C40" s="125"/>
      <c r="D40" s="126"/>
      <c r="E40" s="127"/>
      <c r="F40" s="127"/>
      <c r="G40" s="128"/>
      <c r="H40" s="128"/>
      <c r="I40" s="129"/>
      <c r="J40" s="130"/>
      <c r="K40" s="129"/>
      <c r="L40" s="131"/>
      <c r="M40" s="132"/>
    </row>
    <row r="41" spans="1:13" s="57" customFormat="1" ht="17.25" customHeight="1" thickBot="1">
      <c r="B41" s="108" t="s">
        <v>99</v>
      </c>
      <c r="C41" s="82"/>
      <c r="D41" s="83"/>
      <c r="E41" s="84"/>
      <c r="F41" s="84"/>
      <c r="G41" s="85"/>
      <c r="H41" s="85"/>
      <c r="I41" s="84"/>
      <c r="J41" s="84"/>
      <c r="K41" s="84"/>
      <c r="L41" s="86"/>
      <c r="M41" s="87"/>
    </row>
    <row r="42" spans="1:13" s="57" customFormat="1">
      <c r="B42" s="88" t="s">
        <v>28</v>
      </c>
      <c r="C42" s="89" t="s">
        <v>64</v>
      </c>
      <c r="D42" s="90" t="s">
        <v>49</v>
      </c>
      <c r="E42" s="91">
        <v>0.5</v>
      </c>
      <c r="F42" s="91" t="s">
        <v>100</v>
      </c>
      <c r="G42" s="92">
        <v>69</v>
      </c>
      <c r="H42" s="92">
        <v>34</v>
      </c>
      <c r="I42" s="93" t="s">
        <v>66</v>
      </c>
      <c r="J42" s="93">
        <v>2015</v>
      </c>
      <c r="K42" s="93" t="s">
        <v>91</v>
      </c>
      <c r="L42" s="95" t="s">
        <v>101</v>
      </c>
      <c r="M42" s="121" t="s">
        <v>102</v>
      </c>
    </row>
    <row r="43" spans="1:13" s="57" customFormat="1" ht="21" customHeight="1">
      <c r="B43" s="122" t="s">
        <v>103</v>
      </c>
      <c r="C43" s="116" t="s">
        <v>64</v>
      </c>
      <c r="D43" s="90" t="s">
        <v>49</v>
      </c>
      <c r="E43" s="123">
        <v>0.5</v>
      </c>
      <c r="F43" s="123" t="s">
        <v>100</v>
      </c>
      <c r="G43" s="92">
        <v>69</v>
      </c>
      <c r="H43" s="92">
        <v>34</v>
      </c>
      <c r="I43" s="118" t="s">
        <v>66</v>
      </c>
      <c r="J43" s="118">
        <v>2019</v>
      </c>
      <c r="K43" s="118" t="s">
        <v>91</v>
      </c>
      <c r="L43" s="95" t="s">
        <v>101</v>
      </c>
      <c r="M43" s="121" t="s">
        <v>102</v>
      </c>
    </row>
    <row r="44" spans="1:13" s="57" customFormat="1" ht="22.5" customHeight="1" thickBot="1">
      <c r="B44" s="133" t="s">
        <v>104</v>
      </c>
      <c r="C44" s="134" t="s">
        <v>64</v>
      </c>
      <c r="D44" s="135" t="s">
        <v>49</v>
      </c>
      <c r="E44" s="136">
        <v>0.5</v>
      </c>
      <c r="F44" s="136" t="s">
        <v>100</v>
      </c>
      <c r="G44" s="137">
        <v>44</v>
      </c>
      <c r="H44" s="137">
        <f>+G44*E44</f>
        <v>22</v>
      </c>
      <c r="I44" s="138" t="s">
        <v>89</v>
      </c>
      <c r="J44" s="139" t="s">
        <v>18</v>
      </c>
      <c r="K44" s="138"/>
      <c r="L44" s="140"/>
      <c r="M44" s="262" t="s">
        <v>105</v>
      </c>
    </row>
    <row r="45" spans="1:13" s="57" customFormat="1">
      <c r="D45" s="141"/>
      <c r="E45" s="64"/>
      <c r="F45" s="64"/>
      <c r="G45" s="65"/>
      <c r="H45" s="65"/>
      <c r="L45" s="142"/>
    </row>
    <row r="46" spans="1:13" s="57" customFormat="1">
      <c r="A46" s="143"/>
      <c r="B46" s="144" t="s">
        <v>1</v>
      </c>
      <c r="C46" s="143"/>
      <c r="D46" s="143"/>
      <c r="E46" s="64"/>
      <c r="F46" s="64"/>
      <c r="G46" s="65"/>
      <c r="H46" s="65"/>
      <c r="L46" s="142"/>
    </row>
    <row r="47" spans="1:13" s="57" customFormat="1">
      <c r="A47" s="143">
        <v>1</v>
      </c>
      <c r="B47" s="145" t="s">
        <v>33</v>
      </c>
      <c r="C47" s="145"/>
      <c r="D47" s="145"/>
      <c r="E47" s="64"/>
      <c r="F47" s="64"/>
      <c r="G47" s="65"/>
      <c r="H47" s="65"/>
      <c r="L47" s="142"/>
    </row>
    <row r="48" spans="1:13" s="57" customFormat="1">
      <c r="A48" s="143">
        <v>2</v>
      </c>
      <c r="B48" s="145" t="s">
        <v>106</v>
      </c>
      <c r="C48" s="145"/>
      <c r="D48" s="145"/>
      <c r="E48" s="64"/>
      <c r="F48" s="64"/>
      <c r="G48" s="65"/>
      <c r="H48" s="65"/>
      <c r="L48" s="142"/>
    </row>
    <row r="49" spans="1:12" s="57" customFormat="1">
      <c r="A49" s="57">
        <v>3</v>
      </c>
      <c r="B49" s="146" t="s">
        <v>107</v>
      </c>
      <c r="C49" s="145"/>
      <c r="D49" s="145"/>
      <c r="E49" s="64"/>
      <c r="F49" s="64"/>
      <c r="G49" s="65"/>
      <c r="H49" s="65"/>
      <c r="L49" s="142"/>
    </row>
    <row r="50" spans="1:12" s="57" customFormat="1">
      <c r="A50" s="143">
        <v>4</v>
      </c>
      <c r="B50" s="147" t="s">
        <v>108</v>
      </c>
      <c r="C50" s="145"/>
      <c r="D50" s="145"/>
      <c r="E50" s="64"/>
      <c r="F50" s="64"/>
      <c r="G50" s="65"/>
      <c r="H50" s="65"/>
      <c r="L50" s="142"/>
    </row>
    <row r="51" spans="1:12" s="57" customFormat="1">
      <c r="A51" s="143">
        <v>5</v>
      </c>
      <c r="B51" s="145" t="s">
        <v>109</v>
      </c>
      <c r="C51" s="145"/>
      <c r="D51" s="145"/>
      <c r="E51" s="64"/>
      <c r="F51" s="64"/>
      <c r="G51" s="65"/>
      <c r="H51" s="65"/>
      <c r="L51" s="142"/>
    </row>
    <row r="52" spans="1:12" s="57" customFormat="1">
      <c r="A52" s="143">
        <v>6</v>
      </c>
      <c r="B52" s="145" t="s">
        <v>110</v>
      </c>
      <c r="C52" s="145"/>
      <c r="D52" s="145"/>
      <c r="E52" s="64"/>
      <c r="F52" s="64"/>
      <c r="G52" s="65"/>
      <c r="H52" s="65"/>
      <c r="L52" s="142"/>
    </row>
    <row r="53" spans="1:12" s="57" customFormat="1">
      <c r="A53" s="143"/>
      <c r="B53" s="143"/>
      <c r="C53" s="145"/>
      <c r="D53" s="145"/>
      <c r="E53" s="64"/>
      <c r="F53" s="64"/>
      <c r="G53" s="65"/>
      <c r="H53" s="65"/>
      <c r="L53" s="142"/>
    </row>
    <row r="54" spans="1:12" s="57" customFormat="1" ht="15" thickBot="1">
      <c r="A54" s="143"/>
      <c r="B54" s="145"/>
      <c r="C54" s="145"/>
      <c r="D54" s="145"/>
      <c r="E54" s="64"/>
      <c r="F54" s="64"/>
      <c r="G54" s="65"/>
      <c r="H54" s="65"/>
      <c r="L54" s="142"/>
    </row>
    <row r="55" spans="1:12" s="57" customFormat="1" ht="48" customHeight="1">
      <c r="B55" s="148" t="s">
        <v>111</v>
      </c>
      <c r="C55" s="149" t="s">
        <v>51</v>
      </c>
      <c r="D55" s="150"/>
      <c r="E55" s="151" t="s">
        <v>112</v>
      </c>
      <c r="F55" s="151" t="s">
        <v>54</v>
      </c>
      <c r="G55" s="152" t="s">
        <v>113</v>
      </c>
      <c r="H55" s="152" t="s">
        <v>114</v>
      </c>
      <c r="I55" s="153" t="s">
        <v>57</v>
      </c>
      <c r="L55" s="142"/>
    </row>
    <row r="56" spans="1:12" s="57" customFormat="1" ht="17.25" customHeight="1">
      <c r="B56" s="154" t="s">
        <v>115</v>
      </c>
      <c r="C56" s="89" t="s">
        <v>70</v>
      </c>
      <c r="D56" s="90" t="s">
        <v>68</v>
      </c>
      <c r="E56" s="91">
        <v>1</v>
      </c>
      <c r="F56" s="91"/>
      <c r="G56" s="92">
        <v>67</v>
      </c>
      <c r="H56" s="92">
        <v>67</v>
      </c>
      <c r="I56" s="155" t="s">
        <v>66</v>
      </c>
      <c r="L56" s="142"/>
    </row>
    <row r="57" spans="1:12" s="57" customFormat="1" ht="17.25" customHeight="1">
      <c r="B57" s="88" t="s">
        <v>116</v>
      </c>
      <c r="C57" s="89" t="s">
        <v>70</v>
      </c>
      <c r="D57" s="90" t="s">
        <v>117</v>
      </c>
      <c r="E57" s="91">
        <v>1</v>
      </c>
      <c r="F57" s="91"/>
      <c r="G57" s="92">
        <v>70.599999999999994</v>
      </c>
      <c r="H57" s="92">
        <v>70.599999999999994</v>
      </c>
      <c r="I57" s="155" t="s">
        <v>66</v>
      </c>
      <c r="L57" s="142"/>
    </row>
    <row r="58" spans="1:12" s="57" customFormat="1" ht="17.25" customHeight="1">
      <c r="B58" s="88" t="s">
        <v>118</v>
      </c>
      <c r="C58" s="89" t="s">
        <v>64</v>
      </c>
      <c r="D58" s="90" t="s">
        <v>119</v>
      </c>
      <c r="E58" s="91">
        <v>1</v>
      </c>
      <c r="F58" s="91"/>
      <c r="G58" s="92">
        <v>17.5</v>
      </c>
      <c r="H58" s="92">
        <v>17.5</v>
      </c>
      <c r="I58" s="155" t="s">
        <v>66</v>
      </c>
      <c r="L58" s="142"/>
    </row>
    <row r="59" spans="1:12" s="57" customFormat="1" ht="17.25" customHeight="1" thickBot="1">
      <c r="B59" s="156" t="s">
        <v>120</v>
      </c>
      <c r="C59" s="157" t="s">
        <v>64</v>
      </c>
      <c r="D59" s="135" t="s">
        <v>68</v>
      </c>
      <c r="E59" s="158">
        <v>1</v>
      </c>
      <c r="F59" s="158"/>
      <c r="G59" s="159">
        <v>19</v>
      </c>
      <c r="H59" s="159">
        <v>19</v>
      </c>
      <c r="I59" s="160" t="s">
        <v>66</v>
      </c>
      <c r="L59" s="142"/>
    </row>
  </sheetData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3C34D-FC7B-4B9F-B0AE-7C735ED73FE9}">
  <dimension ref="A2:CZ1831"/>
  <sheetViews>
    <sheetView zoomScale="40" zoomScaleNormal="40" workbookViewId="0">
      <selection activeCell="R25" sqref="R25"/>
    </sheetView>
  </sheetViews>
  <sheetFormatPr defaultColWidth="7.125" defaultRowHeight="14.25"/>
  <cols>
    <col min="1" max="1" width="2.625" style="11" customWidth="1"/>
    <col min="2" max="2" width="72.375" style="11" customWidth="1"/>
    <col min="3" max="3" width="101.375" style="11" customWidth="1"/>
    <col min="4" max="7" width="16.125" style="50" customWidth="1"/>
    <col min="8" max="16384" width="7.125" style="11"/>
  </cols>
  <sheetData>
    <row r="2" spans="2:104" s="4" customFormat="1" ht="25.5">
      <c r="B2" s="1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2:104" s="7" customFormat="1" ht="18.95" customHeight="1" thickBot="1">
      <c r="B3" s="5" t="s">
        <v>6</v>
      </c>
      <c r="C3" s="5"/>
      <c r="D3" s="6" t="s">
        <v>7</v>
      </c>
      <c r="E3" s="6" t="s">
        <v>7</v>
      </c>
      <c r="F3" s="6" t="s">
        <v>7</v>
      </c>
      <c r="G3" s="6" t="s">
        <v>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</row>
    <row r="4" spans="2:104" ht="18" customHeight="1">
      <c r="B4" s="8" t="s">
        <v>8</v>
      </c>
      <c r="C4" s="9"/>
      <c r="D4" s="10"/>
      <c r="E4" s="10"/>
      <c r="F4" s="10"/>
      <c r="G4" s="10"/>
    </row>
    <row r="5" spans="2:104" ht="18" customHeight="1">
      <c r="B5" s="12" t="s">
        <v>9</v>
      </c>
      <c r="C5" s="13">
        <v>1</v>
      </c>
      <c r="D5" s="14">
        <v>1863</v>
      </c>
      <c r="E5" s="14">
        <v>1725.3</v>
      </c>
      <c r="F5" s="14">
        <v>2567.51348298212</v>
      </c>
      <c r="G5" s="14">
        <v>2437</v>
      </c>
    </row>
    <row r="6" spans="2:104" ht="18" customHeight="1">
      <c r="B6" s="12" t="s">
        <v>10</v>
      </c>
      <c r="C6" s="13">
        <v>1</v>
      </c>
      <c r="D6" s="15">
        <v>2219</v>
      </c>
      <c r="E6" s="15">
        <v>1306.5</v>
      </c>
      <c r="F6" s="15">
        <v>1671.0721115465201</v>
      </c>
      <c r="G6" s="15">
        <v>2204.8000000000002</v>
      </c>
    </row>
    <row r="7" spans="2:104" ht="18" customHeight="1">
      <c r="B7" s="12" t="s">
        <v>11</v>
      </c>
      <c r="C7" s="13">
        <v>1</v>
      </c>
      <c r="D7" s="15">
        <v>3363</v>
      </c>
      <c r="E7" s="15">
        <v>3821.6</v>
      </c>
      <c r="F7" s="15">
        <v>4739.6932932609898</v>
      </c>
      <c r="G7" s="15">
        <v>3369.8</v>
      </c>
    </row>
    <row r="8" spans="2:104" ht="18" customHeight="1">
      <c r="B8" s="12" t="s">
        <v>12</v>
      </c>
      <c r="C8" s="13" t="s">
        <v>13</v>
      </c>
      <c r="D8" s="15">
        <v>2897</v>
      </c>
      <c r="E8" s="15">
        <v>2322</v>
      </c>
      <c r="F8" s="15">
        <v>3402.8852461238498</v>
      </c>
      <c r="G8" s="15">
        <v>5601.3</v>
      </c>
    </row>
    <row r="9" spans="2:104" ht="18" customHeight="1">
      <c r="B9" s="12" t="s">
        <v>14</v>
      </c>
      <c r="C9" s="13" t="s">
        <v>13</v>
      </c>
      <c r="D9" s="15">
        <v>4786</v>
      </c>
      <c r="E9" s="15">
        <v>3623.6</v>
      </c>
      <c r="F9" s="15">
        <v>5754.7950144884799</v>
      </c>
      <c r="G9" s="15">
        <v>5213.3999999999996</v>
      </c>
    </row>
    <row r="10" spans="2:104" ht="18" customHeight="1">
      <c r="B10" s="12" t="s">
        <v>15</v>
      </c>
      <c r="C10" s="13">
        <v>1</v>
      </c>
      <c r="D10" s="15">
        <v>37</v>
      </c>
      <c r="E10" s="15">
        <v>28.6</v>
      </c>
      <c r="F10" s="15">
        <v>25.6</v>
      </c>
      <c r="G10" s="15">
        <v>21</v>
      </c>
    </row>
    <row r="11" spans="2:104" ht="18" customHeight="1">
      <c r="B11" s="12" t="s">
        <v>16</v>
      </c>
      <c r="C11" s="13" t="s">
        <v>17</v>
      </c>
      <c r="D11" s="15" t="s">
        <v>18</v>
      </c>
      <c r="E11" s="15" t="s">
        <v>18</v>
      </c>
      <c r="F11" s="15">
        <v>56.7</v>
      </c>
      <c r="G11" s="15">
        <v>189.7</v>
      </c>
    </row>
    <row r="12" spans="2:104" s="19" customFormat="1" ht="18" customHeight="1" thickBot="1">
      <c r="B12" s="16" t="s">
        <v>19</v>
      </c>
      <c r="C12" s="17"/>
      <c r="D12" s="18">
        <v>15166</v>
      </c>
      <c r="E12" s="18">
        <f>SUM(E5:E11)</f>
        <v>12827.6</v>
      </c>
      <c r="F12" s="18">
        <f t="shared" ref="F12:G12" si="0">SUM(F5:F11)</f>
        <v>18218.259148401961</v>
      </c>
      <c r="G12" s="18">
        <f t="shared" si="0"/>
        <v>19037.000000000004</v>
      </c>
    </row>
    <row r="13" spans="2:104" s="21" customFormat="1" ht="22.5" customHeight="1">
      <c r="B13" s="20" t="s">
        <v>20</v>
      </c>
      <c r="C13" s="9"/>
      <c r="D13" s="10"/>
      <c r="E13" s="10"/>
      <c r="F13" s="10"/>
      <c r="G13" s="10"/>
    </row>
    <row r="14" spans="2:104" ht="18" customHeight="1">
      <c r="B14" s="12" t="s">
        <v>21</v>
      </c>
      <c r="C14" s="13"/>
      <c r="D14" s="15">
        <v>2172</v>
      </c>
      <c r="E14" s="15">
        <v>2327.3000000000002</v>
      </c>
      <c r="F14" s="15">
        <v>1795.48</v>
      </c>
      <c r="G14" s="15">
        <v>2706.6332966999998</v>
      </c>
    </row>
    <row r="15" spans="2:104" ht="18" customHeight="1">
      <c r="B15" s="12" t="s">
        <v>22</v>
      </c>
      <c r="C15" s="13"/>
      <c r="D15" s="15">
        <v>247</v>
      </c>
      <c r="E15" s="15">
        <v>102.8</v>
      </c>
      <c r="F15" s="15">
        <v>54.8</v>
      </c>
      <c r="G15" s="15">
        <v>25.814727999999999</v>
      </c>
    </row>
    <row r="16" spans="2:104" ht="18" customHeight="1">
      <c r="B16" s="12" t="s">
        <v>23</v>
      </c>
      <c r="C16" s="13"/>
      <c r="D16" s="15">
        <v>11</v>
      </c>
      <c r="E16" s="15">
        <v>5.5</v>
      </c>
      <c r="F16" s="15">
        <v>6.7</v>
      </c>
      <c r="G16" s="15">
        <v>5.1058850000000007</v>
      </c>
    </row>
    <row r="17" spans="1:7" ht="18" customHeight="1">
      <c r="B17" s="12" t="s">
        <v>24</v>
      </c>
      <c r="C17" s="13"/>
      <c r="D17" s="15">
        <v>3</v>
      </c>
      <c r="E17" s="15">
        <v>0.7</v>
      </c>
      <c r="F17" s="15">
        <v>4</v>
      </c>
      <c r="G17" s="15">
        <v>1.5910579999999999</v>
      </c>
    </row>
    <row r="18" spans="1:7" s="19" customFormat="1" ht="18" customHeight="1" thickBot="1">
      <c r="B18" s="22" t="s">
        <v>25</v>
      </c>
      <c r="C18" s="23"/>
      <c r="D18" s="18">
        <v>2433</v>
      </c>
      <c r="E18" s="18">
        <f>SUM(E14:E17)</f>
        <v>2436.3000000000002</v>
      </c>
      <c r="F18" s="18">
        <f>SUM(F14:F17)</f>
        <v>1860.98</v>
      </c>
      <c r="G18" s="18">
        <f>SUM(G14:G17)</f>
        <v>2739.1449676999996</v>
      </c>
    </row>
    <row r="19" spans="1:7" ht="18" customHeight="1" thickBot="1">
      <c r="B19" s="24"/>
      <c r="C19" s="24"/>
      <c r="D19" s="25"/>
      <c r="E19" s="25"/>
      <c r="F19" s="25"/>
      <c r="G19" s="25"/>
    </row>
    <row r="20" spans="1:7" ht="18" customHeight="1" thickBot="1">
      <c r="B20" s="26" t="s">
        <v>26</v>
      </c>
      <c r="C20" s="27"/>
      <c r="D20" s="28">
        <f>+D12+D18</f>
        <v>17599</v>
      </c>
      <c r="E20" s="28">
        <v>15263.900000000001</v>
      </c>
      <c r="F20" s="28">
        <f>+F12+F18</f>
        <v>20079.239148401961</v>
      </c>
      <c r="G20" s="28">
        <f>+G12+G18</f>
        <v>21776.144967700002</v>
      </c>
    </row>
    <row r="21" spans="1:7" ht="24" customHeight="1" thickBot="1">
      <c r="C21" s="29"/>
      <c r="D21" s="30"/>
      <c r="E21" s="30"/>
      <c r="F21" s="30"/>
      <c r="G21" s="30"/>
    </row>
    <row r="22" spans="1:7" ht="18" customHeight="1" thickBot="1">
      <c r="B22" s="31" t="s">
        <v>27</v>
      </c>
      <c r="C22" s="32"/>
      <c r="D22" s="33"/>
      <c r="E22" s="33"/>
      <c r="F22" s="33"/>
      <c r="G22" s="33"/>
    </row>
    <row r="23" spans="1:7" ht="26.25" customHeight="1" thickBot="1">
      <c r="B23" s="34" t="s">
        <v>28</v>
      </c>
      <c r="C23" s="35" t="s">
        <v>29</v>
      </c>
      <c r="D23" s="36">
        <v>251</v>
      </c>
      <c r="E23" s="36">
        <v>395</v>
      </c>
      <c r="F23" s="36">
        <v>293.7</v>
      </c>
      <c r="G23" s="36">
        <f>578/2</f>
        <v>289</v>
      </c>
    </row>
    <row r="24" spans="1:7" ht="21" customHeight="1" thickBot="1">
      <c r="B24" s="37"/>
      <c r="C24" s="38"/>
      <c r="D24" s="39"/>
      <c r="E24" s="39"/>
      <c r="F24" s="39"/>
      <c r="G24" s="39"/>
    </row>
    <row r="25" spans="1:7" ht="21" customHeight="1" thickBot="1">
      <c r="B25" s="31" t="s">
        <v>30</v>
      </c>
      <c r="C25" s="40"/>
      <c r="D25" s="41"/>
      <c r="E25" s="41"/>
      <c r="F25" s="41"/>
      <c r="G25" s="41"/>
    </row>
    <row r="26" spans="1:7" ht="21" customHeight="1" thickBot="1">
      <c r="B26" s="34" t="s">
        <v>31</v>
      </c>
      <c r="C26" s="42" t="s">
        <v>32</v>
      </c>
      <c r="D26" s="36">
        <v>0</v>
      </c>
      <c r="E26" s="36">
        <v>1945.6</v>
      </c>
      <c r="F26" s="36">
        <v>579.20000000000005</v>
      </c>
      <c r="G26" s="36">
        <v>1461.9</v>
      </c>
    </row>
    <row r="27" spans="1:7">
      <c r="D27" s="43"/>
      <c r="E27" s="43"/>
      <c r="F27" s="43"/>
      <c r="G27" s="43"/>
    </row>
    <row r="28" spans="1:7">
      <c r="B28" s="11" t="s">
        <v>1</v>
      </c>
      <c r="D28" s="43"/>
      <c r="E28" s="43"/>
      <c r="F28" s="43"/>
      <c r="G28" s="43"/>
    </row>
    <row r="29" spans="1:7">
      <c r="A29" s="11">
        <v>1</v>
      </c>
      <c r="B29" s="44" t="s">
        <v>33</v>
      </c>
      <c r="D29" s="43"/>
      <c r="E29" s="43"/>
      <c r="F29" s="43"/>
      <c r="G29" s="43"/>
    </row>
    <row r="30" spans="1:7">
      <c r="A30" s="11">
        <v>2</v>
      </c>
      <c r="B30" s="44" t="s">
        <v>34</v>
      </c>
      <c r="D30" s="43"/>
      <c r="E30" s="43"/>
      <c r="F30" s="43"/>
      <c r="G30" s="43"/>
    </row>
    <row r="31" spans="1:7">
      <c r="D31" s="43"/>
      <c r="E31" s="43"/>
      <c r="F31" s="43"/>
      <c r="G31" s="43"/>
    </row>
    <row r="32" spans="1:7">
      <c r="D32" s="43"/>
      <c r="E32" s="43"/>
      <c r="F32" s="43"/>
      <c r="G32" s="43"/>
    </row>
    <row r="33" spans="2:7">
      <c r="D33" s="43"/>
      <c r="E33" s="43"/>
      <c r="F33" s="43"/>
      <c r="G33" s="43"/>
    </row>
    <row r="34" spans="2:7" ht="15" thickBot="1">
      <c r="D34" s="43"/>
      <c r="E34" s="43"/>
      <c r="F34" s="43"/>
      <c r="G34" s="43"/>
    </row>
    <row r="35" spans="2:7" ht="18" customHeight="1" thickBot="1">
      <c r="B35" s="31" t="s">
        <v>35</v>
      </c>
      <c r="C35" s="32"/>
      <c r="D35" s="33"/>
      <c r="E35" s="33"/>
      <c r="F35" s="33"/>
      <c r="G35" s="33"/>
    </row>
    <row r="36" spans="2:7" ht="18" customHeight="1">
      <c r="B36" s="45" t="s">
        <v>36</v>
      </c>
      <c r="C36" s="13"/>
      <c r="D36" s="15">
        <v>92</v>
      </c>
      <c r="E36" s="15">
        <f>98.8</f>
        <v>98.8</v>
      </c>
      <c r="F36" s="15">
        <v>104</v>
      </c>
      <c r="G36" s="15">
        <v>113</v>
      </c>
    </row>
    <row r="37" spans="2:7" ht="18" customHeight="1">
      <c r="B37" s="45" t="s">
        <v>37</v>
      </c>
      <c r="C37" s="13"/>
      <c r="D37" s="15">
        <v>66</v>
      </c>
      <c r="E37" s="15">
        <v>22</v>
      </c>
      <c r="F37" s="15">
        <v>1</v>
      </c>
      <c r="G37" s="15">
        <v>1</v>
      </c>
    </row>
    <row r="38" spans="2:7" ht="18" customHeight="1" thickBot="1">
      <c r="B38" s="45" t="s">
        <v>38</v>
      </c>
      <c r="C38" s="13"/>
      <c r="D38" s="15" t="s">
        <v>39</v>
      </c>
      <c r="E38" s="15" t="s">
        <v>39</v>
      </c>
      <c r="F38" s="15" t="s">
        <v>39</v>
      </c>
      <c r="G38" s="15" t="s">
        <v>39</v>
      </c>
    </row>
    <row r="39" spans="2:7" ht="18" customHeight="1" thickBot="1">
      <c r="B39" s="46" t="s">
        <v>40</v>
      </c>
      <c r="C39" s="47"/>
      <c r="D39" s="48">
        <f>+D20+D23+D26+D36+D37</f>
        <v>18008</v>
      </c>
      <c r="E39" s="48">
        <f>+E20+E23+E26+E36+E37</f>
        <v>17725.3</v>
      </c>
      <c r="F39" s="48">
        <f t="shared" ref="F39:G39" si="1">+F20+F23+F26+F36+F37</f>
        <v>21057.139148401962</v>
      </c>
      <c r="G39" s="49">
        <f t="shared" si="1"/>
        <v>23641.044967700003</v>
      </c>
    </row>
    <row r="43" spans="2:7">
      <c r="D43" s="43"/>
      <c r="E43" s="43"/>
      <c r="F43" s="43"/>
      <c r="G43" s="43"/>
    </row>
    <row r="46" spans="2:7">
      <c r="G46" s="43"/>
    </row>
    <row r="1831" spans="2:46" s="51" customFormat="1">
      <c r="B1831" s="11"/>
      <c r="C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4581-A89B-4857-8FA9-0D012E55114D}">
  <sheetPr>
    <pageSetUpPr fitToPage="1"/>
  </sheetPr>
  <dimension ref="A2:T79"/>
  <sheetViews>
    <sheetView zoomScale="55" zoomScaleNormal="55" workbookViewId="0">
      <selection activeCell="O33" sqref="O33"/>
    </sheetView>
  </sheetViews>
  <sheetFormatPr defaultColWidth="7.25" defaultRowHeight="15"/>
  <cols>
    <col min="1" max="1" width="7.25" style="162"/>
    <col min="2" max="2" width="23.125" style="162" customWidth="1"/>
    <col min="3" max="3" width="14.375" style="162" customWidth="1"/>
    <col min="4" max="4" width="21.5" style="162" customWidth="1"/>
    <col min="5" max="5" width="3.125" style="163" customWidth="1"/>
    <col min="6" max="6" width="16.75" style="162" customWidth="1"/>
    <col min="7" max="7" width="12.625" style="164" customWidth="1"/>
    <col min="8" max="8" width="16" style="162" customWidth="1"/>
    <col min="9" max="9" width="16.125" style="162" customWidth="1"/>
    <col min="10" max="11" width="16" style="162" customWidth="1"/>
    <col min="12" max="12" width="16.125" style="162" customWidth="1"/>
    <col min="13" max="16384" width="7.25" style="162"/>
  </cols>
  <sheetData>
    <row r="2" spans="2:12">
      <c r="B2" s="161" t="s">
        <v>121</v>
      </c>
      <c r="C2" s="161"/>
    </row>
    <row r="3" spans="2:12">
      <c r="B3" s="161" t="s">
        <v>122</v>
      </c>
      <c r="C3" s="165">
        <v>43921</v>
      </c>
      <c r="G3" s="162"/>
    </row>
    <row r="4" spans="2:12">
      <c r="G4" s="164" t="s">
        <v>123</v>
      </c>
      <c r="H4" s="164" t="s">
        <v>124</v>
      </c>
      <c r="I4" s="164" t="s">
        <v>125</v>
      </c>
      <c r="J4" s="164" t="s">
        <v>126</v>
      </c>
      <c r="K4" s="164" t="s">
        <v>124</v>
      </c>
      <c r="L4" s="164" t="s">
        <v>125</v>
      </c>
    </row>
    <row r="5" spans="2:12" ht="15.75" thickBot="1">
      <c r="F5" s="166"/>
      <c r="G5" s="167" t="s">
        <v>127</v>
      </c>
      <c r="H5" s="167" t="s">
        <v>127</v>
      </c>
      <c r="I5" s="167" t="s">
        <v>127</v>
      </c>
      <c r="J5" s="167" t="s">
        <v>128</v>
      </c>
      <c r="K5" s="167" t="s">
        <v>128</v>
      </c>
      <c r="L5" s="167" t="s">
        <v>128</v>
      </c>
    </row>
    <row r="6" spans="2:12">
      <c r="B6" s="168" t="s">
        <v>129</v>
      </c>
      <c r="C6" s="169" t="s">
        <v>130</v>
      </c>
      <c r="D6" s="170" t="s">
        <v>131</v>
      </c>
      <c r="E6" s="171"/>
      <c r="F6" s="172" t="s">
        <v>132</v>
      </c>
      <c r="G6" s="173">
        <f>4451.2+(1107+60)*0.5</f>
        <v>5034.7</v>
      </c>
      <c r="H6" s="174">
        <v>872.6</v>
      </c>
      <c r="I6" s="174">
        <f>G6-H6</f>
        <v>4162.0999999999995</v>
      </c>
      <c r="J6" s="175" t="s">
        <v>133</v>
      </c>
      <c r="K6" s="175"/>
      <c r="L6" s="175"/>
    </row>
    <row r="7" spans="2:12" ht="15.75" thickBot="1">
      <c r="B7" s="176"/>
      <c r="C7" s="177"/>
      <c r="D7" s="178">
        <v>6.95</v>
      </c>
      <c r="E7" s="179"/>
      <c r="F7" s="180" t="s">
        <v>134</v>
      </c>
      <c r="G7" s="181">
        <f>+G6*D7/1000</f>
        <v>34.991165000000002</v>
      </c>
      <c r="H7" s="182">
        <f>H6*D7/1000</f>
        <v>6.0645700000000007</v>
      </c>
      <c r="I7" s="182">
        <f>D7*I6/1000</f>
        <v>28.926594999999999</v>
      </c>
      <c r="J7" s="182">
        <f>+G7*0.55</f>
        <v>19.245140750000004</v>
      </c>
      <c r="K7" s="182">
        <f>H7*0.55</f>
        <v>3.3355135000000007</v>
      </c>
      <c r="L7" s="182">
        <f>I7*0.55</f>
        <v>15.909627250000002</v>
      </c>
    </row>
    <row r="8" spans="2:12">
      <c r="B8" s="268" t="s">
        <v>135</v>
      </c>
      <c r="C8" s="183" t="s">
        <v>136</v>
      </c>
      <c r="D8" s="184">
        <v>19.399999999999999</v>
      </c>
      <c r="E8" s="185" t="s">
        <v>137</v>
      </c>
      <c r="F8" s="186" t="s">
        <v>132</v>
      </c>
      <c r="G8" s="187">
        <v>4994</v>
      </c>
      <c r="H8" s="173">
        <v>872.6</v>
      </c>
      <c r="I8" s="173">
        <f>G8-H8</f>
        <v>4121.3999999999996</v>
      </c>
      <c r="J8" s="175" t="s">
        <v>133</v>
      </c>
      <c r="K8" s="188"/>
      <c r="L8" s="188"/>
    </row>
    <row r="9" spans="2:12" ht="15.75" thickBot="1">
      <c r="B9" s="266"/>
      <c r="C9" s="189"/>
      <c r="D9" s="190">
        <v>20.828517000000002</v>
      </c>
      <c r="E9" s="191" t="s">
        <v>138</v>
      </c>
      <c r="F9" s="192" t="s">
        <v>139</v>
      </c>
      <c r="G9" s="193">
        <f>G8*D9/1000</f>
        <v>104.01761389800001</v>
      </c>
      <c r="H9" s="194">
        <f>H8*D9/1000</f>
        <v>18.174963934200001</v>
      </c>
      <c r="I9" s="194">
        <f>I8*D9/1000</f>
        <v>85.8426499638</v>
      </c>
      <c r="J9" s="194">
        <f>+G9*0.55</f>
        <v>57.209687643900011</v>
      </c>
      <c r="K9" s="194">
        <f>H9*0.55</f>
        <v>9.9962301638100008</v>
      </c>
      <c r="L9" s="194">
        <f>I9*0.55</f>
        <v>47.213457480090007</v>
      </c>
    </row>
    <row r="10" spans="2:12">
      <c r="B10" s="266"/>
      <c r="C10" s="195" t="s">
        <v>130</v>
      </c>
      <c r="D10" s="196">
        <v>6</v>
      </c>
      <c r="E10" s="197" t="s">
        <v>137</v>
      </c>
      <c r="F10" s="186" t="s">
        <v>132</v>
      </c>
      <c r="G10" s="198">
        <v>1045</v>
      </c>
      <c r="H10" s="187">
        <v>0</v>
      </c>
      <c r="I10" s="187">
        <f>G10-H10</f>
        <v>1045</v>
      </c>
      <c r="J10" s="199" t="s">
        <v>133</v>
      </c>
      <c r="K10" s="200"/>
      <c r="L10" s="200"/>
    </row>
    <row r="11" spans="2:12" ht="15.75" thickBot="1">
      <c r="B11" s="266"/>
      <c r="C11" s="189"/>
      <c r="D11" s="196">
        <v>6</v>
      </c>
      <c r="E11" s="201" t="s">
        <v>138</v>
      </c>
      <c r="F11" s="192" t="s">
        <v>139</v>
      </c>
      <c r="G11" s="193">
        <f>G10*D10/1000</f>
        <v>6.27</v>
      </c>
      <c r="H11" s="194">
        <f>H10*D11/1000</f>
        <v>0</v>
      </c>
      <c r="I11" s="194">
        <f>I10*D11/1000</f>
        <v>6.27</v>
      </c>
      <c r="J11" s="194">
        <f>K11+L11</f>
        <v>19.194524250000001</v>
      </c>
      <c r="K11" s="194">
        <f>H7*0.45</f>
        <v>2.7290565000000004</v>
      </c>
      <c r="L11" s="194">
        <f>I7*0.45+I11*0.55</f>
        <v>16.465467749999998</v>
      </c>
    </row>
    <row r="12" spans="2:12">
      <c r="B12" s="266"/>
      <c r="C12" s="183" t="s">
        <v>76</v>
      </c>
      <c r="D12" s="202"/>
      <c r="E12" s="203"/>
      <c r="F12" s="204" t="s">
        <v>132</v>
      </c>
      <c r="G12" s="260">
        <f>+G8</f>
        <v>4994</v>
      </c>
      <c r="H12" s="255">
        <f>+H8</f>
        <v>872.6</v>
      </c>
      <c r="I12" s="255">
        <f>+I8</f>
        <v>4121.3999999999996</v>
      </c>
      <c r="J12" s="261" t="s">
        <v>133</v>
      </c>
      <c r="K12" s="261"/>
      <c r="L12" s="261"/>
    </row>
    <row r="13" spans="2:12" ht="15.75" thickBot="1">
      <c r="B13" s="267"/>
      <c r="C13" s="195"/>
      <c r="D13" s="205"/>
      <c r="E13" s="206"/>
      <c r="F13" s="192" t="s">
        <v>139</v>
      </c>
      <c r="G13" s="253">
        <f>+G9+G11</f>
        <v>110.287613898</v>
      </c>
      <c r="H13" s="258">
        <f>+H11+H9</f>
        <v>18.174963934200001</v>
      </c>
      <c r="I13" s="258">
        <f>+I11+I9</f>
        <v>92.112649963799996</v>
      </c>
      <c r="J13" s="258">
        <f>J9+J11</f>
        <v>76.404211893900012</v>
      </c>
      <c r="K13" s="258">
        <f>K9+K11</f>
        <v>12.725286663810001</v>
      </c>
      <c r="L13" s="258">
        <f>L9+L11</f>
        <v>63.678925230090002</v>
      </c>
    </row>
    <row r="14" spans="2:12">
      <c r="B14" s="265" t="s">
        <v>140</v>
      </c>
      <c r="C14" s="207" t="s">
        <v>136</v>
      </c>
      <c r="D14" s="208">
        <v>18</v>
      </c>
      <c r="E14" s="209" t="s">
        <v>137</v>
      </c>
      <c r="F14" s="210" t="s">
        <v>132</v>
      </c>
      <c r="G14" s="187">
        <v>4745</v>
      </c>
      <c r="H14" s="173">
        <v>872.6</v>
      </c>
      <c r="I14" s="173">
        <f>G14-H14</f>
        <v>3872.4</v>
      </c>
      <c r="J14" s="187"/>
      <c r="K14" s="187"/>
      <c r="L14" s="187"/>
    </row>
    <row r="15" spans="2:12" ht="15.75" thickBot="1">
      <c r="B15" s="266"/>
      <c r="C15" s="211"/>
      <c r="D15" s="212">
        <v>19.274678000000002</v>
      </c>
      <c r="E15" s="213" t="s">
        <v>138</v>
      </c>
      <c r="F15" s="214" t="s">
        <v>139</v>
      </c>
      <c r="G15" s="194">
        <f>G14*D15/1000</f>
        <v>91.458347110000005</v>
      </c>
      <c r="H15" s="194">
        <f>H14*D15/1000</f>
        <v>16.819084022800002</v>
      </c>
      <c r="I15" s="194">
        <f>I14*D15/1000</f>
        <v>74.639263087200007</v>
      </c>
      <c r="J15" s="194">
        <f>SUM(K15:L15)</f>
        <v>97.110017164600009</v>
      </c>
      <c r="K15" s="194">
        <f>H9*0.45+H15*0.55</f>
        <v>17.429229982930003</v>
      </c>
      <c r="L15" s="194">
        <f>+I9*0.45+I15*0.55</f>
        <v>79.680787181670013</v>
      </c>
    </row>
    <row r="16" spans="2:12">
      <c r="B16" s="266"/>
      <c r="C16" s="215" t="s">
        <v>130</v>
      </c>
      <c r="D16" s="208"/>
      <c r="E16" s="216"/>
      <c r="F16" s="210" t="s">
        <v>132</v>
      </c>
      <c r="G16" s="187"/>
      <c r="H16" s="217"/>
      <c r="I16" s="217"/>
      <c r="J16" s="217"/>
      <c r="K16" s="217"/>
      <c r="L16" s="217"/>
    </row>
    <row r="17" spans="2:20" ht="15.75" thickBot="1">
      <c r="B17" s="266"/>
      <c r="C17" s="215"/>
      <c r="D17" s="212"/>
      <c r="E17" s="216"/>
      <c r="F17" s="214" t="s">
        <v>139</v>
      </c>
      <c r="G17" s="194">
        <v>0</v>
      </c>
      <c r="H17" s="194"/>
      <c r="I17" s="194"/>
      <c r="J17" s="194">
        <f>SUM(K17:L17)</f>
        <v>2.8214999999999999</v>
      </c>
      <c r="K17" s="194"/>
      <c r="L17" s="194">
        <f>I11*0.45</f>
        <v>2.8214999999999999</v>
      </c>
    </row>
    <row r="18" spans="2:20">
      <c r="B18" s="266"/>
      <c r="C18" s="207" t="s">
        <v>76</v>
      </c>
      <c r="D18" s="208"/>
      <c r="E18" s="209"/>
      <c r="F18" s="210" t="s">
        <v>132</v>
      </c>
      <c r="G18" s="260">
        <f>+G14</f>
        <v>4745</v>
      </c>
      <c r="H18" s="255">
        <f>+H14</f>
        <v>872.6</v>
      </c>
      <c r="I18" s="255">
        <f>+I14</f>
        <v>3872.4</v>
      </c>
      <c r="J18" s="261" t="s">
        <v>133</v>
      </c>
      <c r="K18" s="261"/>
      <c r="L18" s="261"/>
    </row>
    <row r="19" spans="2:20" ht="15.75" thickBot="1">
      <c r="B19" s="267"/>
      <c r="C19" s="215"/>
      <c r="D19" s="218"/>
      <c r="E19" s="216"/>
      <c r="F19" s="219" t="s">
        <v>139</v>
      </c>
      <c r="G19" s="253">
        <f>+G15+G17</f>
        <v>91.458347110000005</v>
      </c>
      <c r="H19" s="258">
        <f>H15+H17</f>
        <v>16.819084022800002</v>
      </c>
      <c r="I19" s="258">
        <f>I15+I17</f>
        <v>74.639263087200007</v>
      </c>
      <c r="J19" s="258">
        <f>J15+J17</f>
        <v>99.93151716460001</v>
      </c>
      <c r="K19" s="258">
        <f>K15+K17</f>
        <v>17.429229982930003</v>
      </c>
      <c r="L19" s="258">
        <f>L15+L17</f>
        <v>82.502287181670013</v>
      </c>
    </row>
    <row r="20" spans="2:20">
      <c r="B20" s="269" t="s">
        <v>141</v>
      </c>
      <c r="C20" s="220" t="s">
        <v>136</v>
      </c>
      <c r="D20" s="221">
        <v>22.5</v>
      </c>
      <c r="E20" s="222" t="s">
        <v>137</v>
      </c>
      <c r="F20" s="223" t="s">
        <v>132</v>
      </c>
      <c r="G20" s="187">
        <v>4830</v>
      </c>
      <c r="H20" s="173">
        <v>872.6</v>
      </c>
      <c r="I20" s="173">
        <f>G20-H20</f>
        <v>3957.4</v>
      </c>
      <c r="J20" s="175" t="s">
        <v>133</v>
      </c>
      <c r="K20" s="175"/>
      <c r="L20" s="175"/>
    </row>
    <row r="21" spans="2:20" ht="15.75" thickBot="1">
      <c r="B21" s="270"/>
      <c r="C21" s="224"/>
      <c r="D21" s="225">
        <v>24.38</v>
      </c>
      <c r="E21" s="226" t="s">
        <v>138</v>
      </c>
      <c r="F21" s="227" t="s">
        <v>134</v>
      </c>
      <c r="G21" s="193">
        <f>G20*D21/1000</f>
        <v>117.75539999999999</v>
      </c>
      <c r="H21" s="194">
        <f>H20*D21/1000</f>
        <v>21.273988000000003</v>
      </c>
      <c r="I21" s="194">
        <f>I20*D21/1000</f>
        <v>96.481411999999992</v>
      </c>
      <c r="J21" s="194">
        <f>SUM(K21:L21)</f>
        <v>105.9217261995</v>
      </c>
      <c r="K21" s="194">
        <f>H15*0.45+H21*0.55</f>
        <v>19.269281210260004</v>
      </c>
      <c r="L21" s="194">
        <f>+I15*0.45+I21*0.55</f>
        <v>86.652444989239996</v>
      </c>
    </row>
    <row r="22" spans="2:20">
      <c r="B22" s="270"/>
      <c r="C22" s="228" t="s">
        <v>130</v>
      </c>
      <c r="D22" s="229"/>
      <c r="E22" s="230"/>
      <c r="F22" s="223" t="s">
        <v>132</v>
      </c>
      <c r="G22" s="231"/>
      <c r="H22" s="232"/>
      <c r="I22" s="232"/>
      <c r="J22" s="232"/>
      <c r="K22" s="217"/>
      <c r="L22" s="217"/>
    </row>
    <row r="23" spans="2:20" ht="15.75" thickBot="1">
      <c r="B23" s="270"/>
      <c r="C23" s="228"/>
      <c r="D23" s="229"/>
      <c r="E23" s="230"/>
      <c r="F23" s="227" t="s">
        <v>139</v>
      </c>
      <c r="G23" s="193"/>
      <c r="H23" s="194"/>
      <c r="I23" s="194"/>
      <c r="J23" s="194"/>
      <c r="K23" s="194"/>
      <c r="L23" s="194"/>
    </row>
    <row r="24" spans="2:20">
      <c r="B24" s="270"/>
      <c r="C24" s="220" t="s">
        <v>76</v>
      </c>
      <c r="D24" s="221"/>
      <c r="E24" s="222"/>
      <c r="F24" s="223" t="s">
        <v>132</v>
      </c>
      <c r="G24" s="260">
        <f>+G20</f>
        <v>4830</v>
      </c>
      <c r="H24" s="255">
        <f>+H20</f>
        <v>872.6</v>
      </c>
      <c r="I24" s="255">
        <f>+I20</f>
        <v>3957.4</v>
      </c>
      <c r="J24" s="254" t="s">
        <v>133</v>
      </c>
      <c r="K24" s="254"/>
      <c r="L24" s="254"/>
    </row>
    <row r="25" spans="2:20" ht="15.75" thickBot="1">
      <c r="B25" s="271"/>
      <c r="C25" s="228"/>
      <c r="D25" s="233"/>
      <c r="E25" s="234"/>
      <c r="F25" s="235" t="s">
        <v>139</v>
      </c>
      <c r="G25" s="253">
        <f>+G21+G23</f>
        <v>117.75539999999999</v>
      </c>
      <c r="H25" s="258">
        <f>H21+H23</f>
        <v>21.273988000000003</v>
      </c>
      <c r="I25" s="258">
        <f>I21+I23</f>
        <v>96.481411999999992</v>
      </c>
      <c r="J25" s="258">
        <f>J21+J23</f>
        <v>105.9217261995</v>
      </c>
      <c r="K25" s="258">
        <f>K21+K23</f>
        <v>19.269281210260004</v>
      </c>
      <c r="L25" s="258">
        <f>L21+L23</f>
        <v>86.652444989239996</v>
      </c>
    </row>
    <row r="26" spans="2:20">
      <c r="B26" s="265" t="s">
        <v>142</v>
      </c>
      <c r="C26" s="207" t="s">
        <v>136</v>
      </c>
      <c r="D26" s="208">
        <v>8.4</v>
      </c>
      <c r="E26" s="236" t="s">
        <v>137</v>
      </c>
      <c r="F26" s="210" t="s">
        <v>132</v>
      </c>
      <c r="G26" s="187">
        <f>4767-21</f>
        <v>4746</v>
      </c>
      <c r="H26" s="173">
        <v>872.6</v>
      </c>
      <c r="I26" s="173">
        <f>G26-H26</f>
        <v>3873.4</v>
      </c>
      <c r="J26" s="232" t="s">
        <v>133</v>
      </c>
      <c r="K26" s="187"/>
      <c r="L26" s="187"/>
    </row>
    <row r="27" spans="2:20" ht="15.75" thickBot="1">
      <c r="B27" s="266"/>
      <c r="C27" s="211"/>
      <c r="D27" s="212">
        <v>9.2100000000000009</v>
      </c>
      <c r="E27" s="237" t="s">
        <v>143</v>
      </c>
      <c r="F27" s="214" t="s">
        <v>139</v>
      </c>
      <c r="G27" s="193">
        <f>G26*D27/1000</f>
        <v>43.710660000000004</v>
      </c>
      <c r="H27" s="194">
        <f>H26*D27/1000</f>
        <v>8.0366460000000011</v>
      </c>
      <c r="I27" s="194">
        <f>I26*D27/1000</f>
        <v>35.674014</v>
      </c>
      <c r="J27" s="238">
        <f>SUM(K27:L27)</f>
        <v>77.030793000000003</v>
      </c>
      <c r="K27" s="194">
        <f>H21*0.45+H27*0.55</f>
        <v>13.993449900000003</v>
      </c>
      <c r="L27" s="194">
        <f>+I21*0.45+I27*0.55</f>
        <v>63.037343100000001</v>
      </c>
      <c r="O27" s="249"/>
      <c r="P27" s="249"/>
      <c r="Q27" s="249"/>
      <c r="R27" s="249"/>
      <c r="S27" s="249"/>
      <c r="T27" s="249"/>
    </row>
    <row r="28" spans="2:20">
      <c r="B28" s="266"/>
      <c r="C28" s="207" t="s">
        <v>130</v>
      </c>
      <c r="D28" s="239">
        <v>45</v>
      </c>
      <c r="E28" s="236"/>
      <c r="F28" s="210" t="s">
        <v>132</v>
      </c>
      <c r="G28" s="187">
        <f>+H28+I28</f>
        <v>74.900000000000006</v>
      </c>
      <c r="H28" s="173">
        <v>74.900000000000006</v>
      </c>
      <c r="I28" s="173"/>
      <c r="J28" s="232" t="s">
        <v>133</v>
      </c>
      <c r="K28" s="232"/>
      <c r="L28" s="232"/>
      <c r="O28" s="249"/>
      <c r="P28" s="249"/>
      <c r="Q28" s="249"/>
      <c r="R28" s="249"/>
      <c r="S28" s="249"/>
      <c r="T28" s="249"/>
    </row>
    <row r="29" spans="2:20" ht="15.75" thickBot="1">
      <c r="B29" s="266"/>
      <c r="C29" s="211"/>
      <c r="D29" s="240">
        <v>45</v>
      </c>
      <c r="E29" s="237"/>
      <c r="F29" s="214" t="s">
        <v>139</v>
      </c>
      <c r="G29" s="193">
        <f>G28*D29/1000</f>
        <v>3.3705000000000003</v>
      </c>
      <c r="H29" s="194">
        <f>H28*D29/1000</f>
        <v>3.3705000000000003</v>
      </c>
      <c r="I29" s="193"/>
      <c r="J29" s="238">
        <f>SUM(G23*45%)+(G29*55%)</f>
        <v>1.8537750000000004</v>
      </c>
      <c r="K29" s="194">
        <f>H23*0.45+H29*0.55</f>
        <v>1.8537750000000004</v>
      </c>
      <c r="L29" s="194">
        <f>+I23*0.45+I29*0.55</f>
        <v>0</v>
      </c>
      <c r="O29" s="249"/>
      <c r="P29" s="249"/>
      <c r="Q29" s="249"/>
      <c r="R29" s="249"/>
      <c r="S29" s="249"/>
      <c r="T29" s="249"/>
    </row>
    <row r="30" spans="2:20">
      <c r="B30" s="266"/>
      <c r="C30" s="207" t="s">
        <v>76</v>
      </c>
      <c r="D30" s="208"/>
      <c r="E30" s="209"/>
      <c r="F30" s="210" t="s">
        <v>132</v>
      </c>
      <c r="G30" s="260">
        <f>+G26</f>
        <v>4746</v>
      </c>
      <c r="H30" s="255">
        <f>+H26</f>
        <v>872.6</v>
      </c>
      <c r="I30" s="255">
        <f>+I26</f>
        <v>3873.4</v>
      </c>
      <c r="J30" s="254" t="s">
        <v>133</v>
      </c>
      <c r="K30" s="254"/>
      <c r="L30" s="254"/>
      <c r="O30" s="249"/>
      <c r="P30" s="249"/>
      <c r="Q30" s="249"/>
      <c r="R30" s="249"/>
      <c r="S30" s="249"/>
      <c r="T30" s="249"/>
    </row>
    <row r="31" spans="2:20" ht="15.75" thickBot="1">
      <c r="B31" s="267"/>
      <c r="C31" s="215"/>
      <c r="D31" s="218"/>
      <c r="E31" s="216"/>
      <c r="F31" s="219" t="s">
        <v>139</v>
      </c>
      <c r="G31" s="253">
        <f>+G27+G29</f>
        <v>47.081160000000004</v>
      </c>
      <c r="H31" s="258">
        <f>H27+H29</f>
        <v>11.407146000000001</v>
      </c>
      <c r="I31" s="258">
        <f>I27+I29</f>
        <v>35.674014</v>
      </c>
      <c r="J31" s="258">
        <f>J27+J29</f>
        <v>78.884568000000002</v>
      </c>
      <c r="K31" s="258">
        <f>K27+K29</f>
        <v>15.847224900000004</v>
      </c>
      <c r="L31" s="258">
        <f>L27+L29</f>
        <v>63.037343100000001</v>
      </c>
      <c r="O31" s="249"/>
      <c r="P31" s="249"/>
      <c r="Q31" s="249"/>
      <c r="R31" s="249"/>
      <c r="S31" s="249"/>
      <c r="T31" s="249"/>
    </row>
    <row r="32" spans="2:20">
      <c r="B32" s="269" t="s">
        <v>144</v>
      </c>
      <c r="C32" s="220" t="s">
        <v>136</v>
      </c>
      <c r="D32" s="221">
        <v>6.44</v>
      </c>
      <c r="E32" s="222" t="s">
        <v>137</v>
      </c>
      <c r="F32" s="223" t="s">
        <v>132</v>
      </c>
      <c r="G32" s="173">
        <f>3384-25</f>
        <v>3359</v>
      </c>
      <c r="H32" s="173">
        <v>872.6</v>
      </c>
      <c r="I32" s="173">
        <f>G32-H32</f>
        <v>2486.4</v>
      </c>
      <c r="J32" s="232" t="s">
        <v>133</v>
      </c>
      <c r="K32" s="232"/>
      <c r="L32" s="232"/>
      <c r="O32" s="249"/>
      <c r="P32" s="249"/>
      <c r="Q32" s="249"/>
      <c r="R32" s="249"/>
      <c r="S32" s="249"/>
      <c r="T32" s="249"/>
    </row>
    <row r="33" spans="2:20" ht="15.75" thickBot="1">
      <c r="B33" s="270"/>
      <c r="C33" s="224"/>
      <c r="D33" s="225">
        <v>6.83</v>
      </c>
      <c r="E33" s="226" t="s">
        <v>143</v>
      </c>
      <c r="F33" s="227" t="s">
        <v>139</v>
      </c>
      <c r="G33" s="193">
        <f>G32*D33/1000</f>
        <v>22.941970000000001</v>
      </c>
      <c r="H33" s="194">
        <f>H32*D33/1000</f>
        <v>5.9598580000000005</v>
      </c>
      <c r="I33" s="194">
        <f>I32*D33/1000</f>
        <v>16.982112000000001</v>
      </c>
      <c r="J33" s="194">
        <f>SUM(K33:L33)</f>
        <v>32.2878805</v>
      </c>
      <c r="K33" s="194">
        <f>H27*0.45+H33*0.55</f>
        <v>6.8944126000000008</v>
      </c>
      <c r="L33" s="194">
        <f>+I27*0.45+I33*0.55</f>
        <v>25.393467900000001</v>
      </c>
      <c r="O33" s="249"/>
      <c r="P33" s="249"/>
      <c r="Q33" s="249"/>
      <c r="R33" s="249"/>
      <c r="S33" s="249"/>
      <c r="T33" s="249"/>
    </row>
    <row r="34" spans="2:20">
      <c r="B34" s="270"/>
      <c r="C34" s="228" t="s">
        <v>130</v>
      </c>
      <c r="D34" s="229"/>
      <c r="E34" s="230"/>
      <c r="F34" s="223" t="s">
        <v>132</v>
      </c>
      <c r="G34" s="231"/>
      <c r="H34" s="232"/>
      <c r="I34" s="232"/>
      <c r="J34" s="241"/>
      <c r="K34" s="232"/>
      <c r="L34" s="232"/>
      <c r="O34" s="249"/>
      <c r="P34" s="249"/>
      <c r="Q34" s="249"/>
      <c r="R34" s="249"/>
      <c r="S34" s="249"/>
      <c r="T34" s="249"/>
    </row>
    <row r="35" spans="2:20" ht="15.75" thickBot="1">
      <c r="B35" s="270"/>
      <c r="C35" s="228"/>
      <c r="D35" s="229"/>
      <c r="E35" s="230"/>
      <c r="F35" s="227" t="s">
        <v>139</v>
      </c>
      <c r="G35" s="193"/>
      <c r="H35" s="193"/>
      <c r="I35" s="193"/>
      <c r="J35" s="238">
        <f>SUM(G29*45%)+(G35*55%)</f>
        <v>1.5167250000000001</v>
      </c>
      <c r="K35" s="194">
        <f>H29*0.45+H35*0.55</f>
        <v>1.5167250000000001</v>
      </c>
      <c r="L35" s="194">
        <f>+I29*0.45+I35*0.55</f>
        <v>0</v>
      </c>
      <c r="O35" s="249"/>
      <c r="P35" s="249"/>
      <c r="Q35" s="249"/>
      <c r="R35" s="249"/>
      <c r="S35" s="249"/>
      <c r="T35" s="249"/>
    </row>
    <row r="36" spans="2:20">
      <c r="B36" s="270"/>
      <c r="C36" s="220" t="s">
        <v>76</v>
      </c>
      <c r="D36" s="221"/>
      <c r="E36" s="222"/>
      <c r="F36" s="223" t="s">
        <v>132</v>
      </c>
      <c r="G36" s="255">
        <f>+G34+G32</f>
        <v>3359</v>
      </c>
      <c r="H36" s="254">
        <f>+H34+H32</f>
        <v>872.6</v>
      </c>
      <c r="I36" s="255">
        <f>+I34+I32</f>
        <v>2486.4</v>
      </c>
      <c r="J36" s="254" t="s">
        <v>133</v>
      </c>
      <c r="K36" s="254"/>
      <c r="L36" s="254"/>
      <c r="O36" s="249"/>
      <c r="P36" s="249"/>
      <c r="Q36" s="249"/>
      <c r="R36" s="249"/>
      <c r="S36" s="249"/>
      <c r="T36" s="249"/>
    </row>
    <row r="37" spans="2:20" ht="15.75" thickBot="1">
      <c r="B37" s="271"/>
      <c r="C37" s="242"/>
      <c r="D37" s="225"/>
      <c r="E37" s="243"/>
      <c r="F37" s="227" t="s">
        <v>134</v>
      </c>
      <c r="G37" s="253">
        <f>+G33+G35</f>
        <v>22.941970000000001</v>
      </c>
      <c r="H37" s="258">
        <f>H33+H35</f>
        <v>5.9598580000000005</v>
      </c>
      <c r="I37" s="258">
        <f>I33+I35</f>
        <v>16.982112000000001</v>
      </c>
      <c r="J37" s="258">
        <f>J33+J35</f>
        <v>33.804605500000001</v>
      </c>
      <c r="K37" s="258">
        <f>K33+K35</f>
        <v>8.4111376</v>
      </c>
      <c r="L37" s="258">
        <f>L33+L35</f>
        <v>25.393467900000001</v>
      </c>
      <c r="O37" s="250"/>
      <c r="P37" s="250"/>
      <c r="Q37" s="250"/>
      <c r="R37" s="250"/>
      <c r="S37" s="250"/>
      <c r="T37" s="250"/>
    </row>
    <row r="38" spans="2:20">
      <c r="B38" s="265" t="s">
        <v>145</v>
      </c>
      <c r="C38" s="207" t="s">
        <v>136</v>
      </c>
      <c r="D38" s="239">
        <v>15.97</v>
      </c>
      <c r="E38" s="236" t="s">
        <v>137</v>
      </c>
      <c r="F38" s="210" t="s">
        <v>132</v>
      </c>
      <c r="G38" s="173">
        <f>+I38+H38</f>
        <v>3322.6</v>
      </c>
      <c r="H38" s="173">
        <v>872.6</v>
      </c>
      <c r="I38" s="173">
        <f>3274-21-803</f>
        <v>2450</v>
      </c>
      <c r="J38" s="232" t="s">
        <v>133</v>
      </c>
      <c r="K38" s="232"/>
      <c r="L38" s="232"/>
      <c r="O38" s="249"/>
      <c r="P38" s="249"/>
      <c r="Q38" s="249"/>
      <c r="R38" s="249"/>
      <c r="S38" s="249"/>
      <c r="T38" s="249"/>
    </row>
    <row r="39" spans="2:20" ht="15.75" thickBot="1">
      <c r="B39" s="266"/>
      <c r="C39" s="211"/>
      <c r="D39" s="240">
        <v>17.29</v>
      </c>
      <c r="E39" s="237" t="s">
        <v>143</v>
      </c>
      <c r="F39" s="214" t="s">
        <v>139</v>
      </c>
      <c r="G39" s="193">
        <f>G38*D39/1000</f>
        <v>57.447753999999996</v>
      </c>
      <c r="H39" s="194">
        <f>H38*D39/1000</f>
        <v>15.087254</v>
      </c>
      <c r="I39" s="194">
        <f>I38*D39/1000</f>
        <v>42.360500000000002</v>
      </c>
      <c r="J39" s="194">
        <f>+K39+L39</f>
        <v>41.920151200000006</v>
      </c>
      <c r="K39" s="194">
        <f>H33*0.45+H39*0.55</f>
        <v>10.9799258</v>
      </c>
      <c r="L39" s="194">
        <f>+I33*0.45+I39*0.55</f>
        <v>30.940225400000003</v>
      </c>
      <c r="O39" s="249"/>
      <c r="P39" s="249"/>
      <c r="Q39" s="249"/>
      <c r="R39" s="249"/>
      <c r="S39" s="249"/>
      <c r="T39" s="249"/>
    </row>
    <row r="40" spans="2:20">
      <c r="B40" s="266"/>
      <c r="C40" s="207" t="s">
        <v>130</v>
      </c>
      <c r="D40" s="239"/>
      <c r="E40" s="236"/>
      <c r="F40" s="210" t="s">
        <v>132</v>
      </c>
      <c r="G40" s="231"/>
      <c r="H40" s="232"/>
      <c r="I40" s="232"/>
      <c r="J40" s="232" t="s">
        <v>133</v>
      </c>
      <c r="K40" s="232"/>
      <c r="L40" s="232"/>
      <c r="O40" s="250"/>
      <c r="P40" s="249"/>
      <c r="Q40" s="249"/>
      <c r="R40" s="249"/>
      <c r="S40" s="250"/>
      <c r="T40" s="250"/>
    </row>
    <row r="41" spans="2:20" ht="15.75" thickBot="1">
      <c r="B41" s="266"/>
      <c r="C41" s="211"/>
      <c r="D41" s="240"/>
      <c r="E41" s="237"/>
      <c r="F41" s="214" t="s">
        <v>134</v>
      </c>
      <c r="G41" s="193">
        <f>G40*D40/1000</f>
        <v>0</v>
      </c>
      <c r="H41" s="193"/>
      <c r="I41" s="193"/>
      <c r="J41" s="238">
        <f>SUM(G35*45%)+(G41*55%)</f>
        <v>0</v>
      </c>
      <c r="K41" s="193"/>
      <c r="L41" s="193"/>
      <c r="O41" s="249"/>
      <c r="P41" s="249"/>
      <c r="Q41" s="249"/>
      <c r="R41" s="249"/>
      <c r="S41" s="249"/>
      <c r="T41" s="249"/>
    </row>
    <row r="42" spans="2:20">
      <c r="B42" s="266"/>
      <c r="C42" s="207" t="s">
        <v>147</v>
      </c>
      <c r="D42" s="239">
        <f>+D38</f>
        <v>15.97</v>
      </c>
      <c r="E42" s="236"/>
      <c r="F42" s="210" t="s">
        <v>132</v>
      </c>
      <c r="G42" s="173">
        <f>+H42+I42</f>
        <v>803</v>
      </c>
      <c r="H42" s="232"/>
      <c r="I42" s="173">
        <v>803</v>
      </c>
      <c r="J42" s="232" t="s">
        <v>133</v>
      </c>
      <c r="K42" s="232"/>
      <c r="L42" s="232"/>
      <c r="O42" s="250"/>
      <c r="P42" s="249"/>
      <c r="Q42" s="249"/>
      <c r="R42" s="249"/>
      <c r="S42" s="250"/>
      <c r="T42" s="250"/>
    </row>
    <row r="43" spans="2:20" ht="15.75" thickBot="1">
      <c r="B43" s="266"/>
      <c r="C43" s="211"/>
      <c r="D43" s="240">
        <f>+D39</f>
        <v>17.29</v>
      </c>
      <c r="E43" s="237"/>
      <c r="F43" s="214" t="s">
        <v>134</v>
      </c>
      <c r="G43" s="193">
        <f>G42*D43/1000</f>
        <v>13.883869999999998</v>
      </c>
      <c r="H43" s="193"/>
      <c r="I43" s="193">
        <f>+I42*D43/1000</f>
        <v>13.883869999999998</v>
      </c>
      <c r="J43" s="259">
        <f>+K43+L43</f>
        <v>7.6361284999999999</v>
      </c>
      <c r="K43" s="193"/>
      <c r="L43" s="193">
        <f>+I43*0.55</f>
        <v>7.6361284999999999</v>
      </c>
      <c r="O43" s="249"/>
      <c r="P43" s="249"/>
      <c r="Q43" s="249"/>
      <c r="R43" s="249"/>
      <c r="S43" s="249"/>
      <c r="T43" s="249"/>
    </row>
    <row r="44" spans="2:20">
      <c r="B44" s="266"/>
      <c r="C44" s="207" t="s">
        <v>76</v>
      </c>
      <c r="D44" s="208"/>
      <c r="E44" s="209"/>
      <c r="F44" s="210" t="s">
        <v>132</v>
      </c>
      <c r="G44" s="255">
        <f>+SUM(G38,G40,G42)</f>
        <v>4125.6000000000004</v>
      </c>
      <c r="H44" s="255">
        <f>+SUM(H38,H40,H42)</f>
        <v>872.6</v>
      </c>
      <c r="I44" s="255">
        <f>+SUM(I38,I40,I42)</f>
        <v>3253</v>
      </c>
      <c r="J44" s="254" t="s">
        <v>133</v>
      </c>
      <c r="K44" s="254"/>
      <c r="L44" s="254"/>
      <c r="O44" s="249"/>
      <c r="P44" s="249"/>
      <c r="Q44" s="249"/>
      <c r="R44" s="249"/>
      <c r="S44" s="249"/>
      <c r="T44" s="249"/>
    </row>
    <row r="45" spans="2:20" ht="15.75" thickBot="1">
      <c r="B45" s="267"/>
      <c r="C45" s="215"/>
      <c r="D45" s="218"/>
      <c r="E45" s="216"/>
      <c r="F45" s="219" t="s">
        <v>139</v>
      </c>
      <c r="G45" s="253">
        <f>+G39+G41+G43</f>
        <v>71.331623999999991</v>
      </c>
      <c r="H45" s="258">
        <f>H39+H41+H43</f>
        <v>15.087254</v>
      </c>
      <c r="I45" s="258">
        <f>I39+I41+I43</f>
        <v>56.244370000000004</v>
      </c>
      <c r="J45" s="258">
        <f>J39+J41+J43</f>
        <v>49.556279700000005</v>
      </c>
      <c r="K45" s="258">
        <f>K39+K41+K43</f>
        <v>10.9799258</v>
      </c>
      <c r="L45" s="258">
        <f>L39+L41+L43</f>
        <v>38.576353900000001</v>
      </c>
      <c r="O45" s="249"/>
      <c r="P45" s="249"/>
      <c r="Q45" s="249"/>
      <c r="R45" s="249"/>
      <c r="S45" s="249"/>
      <c r="T45" s="249"/>
    </row>
    <row r="46" spans="2:20" ht="15.75" thickBot="1">
      <c r="B46" s="263" t="s">
        <v>146</v>
      </c>
      <c r="C46" s="220" t="s">
        <v>136</v>
      </c>
      <c r="D46" s="244">
        <v>18</v>
      </c>
      <c r="E46" s="222" t="s">
        <v>137</v>
      </c>
      <c r="F46" s="223" t="s">
        <v>132</v>
      </c>
      <c r="G46" s="173">
        <f>+I46+H46</f>
        <v>3337</v>
      </c>
      <c r="H46" s="173">
        <v>887</v>
      </c>
      <c r="I46" s="173">
        <f>2471-21</f>
        <v>2450</v>
      </c>
      <c r="J46" s="232" t="s">
        <v>133</v>
      </c>
      <c r="K46" s="232"/>
      <c r="L46" s="232"/>
      <c r="O46" s="250"/>
      <c r="P46" s="250"/>
      <c r="Q46" s="250"/>
      <c r="R46" s="250"/>
      <c r="S46" s="250"/>
      <c r="T46" s="250"/>
    </row>
    <row r="47" spans="2:20" ht="15.75" thickBot="1">
      <c r="B47" s="263"/>
      <c r="C47" s="224"/>
      <c r="D47" s="225">
        <f>+D46*1.02^4</f>
        <v>19.483778879999999</v>
      </c>
      <c r="E47" s="226" t="s">
        <v>143</v>
      </c>
      <c r="F47" s="227" t="s">
        <v>139</v>
      </c>
      <c r="G47" s="193">
        <f>G46*D47/1000</f>
        <v>65.017370122559996</v>
      </c>
      <c r="H47" s="194">
        <f>H46*D47/1000</f>
        <v>17.282111866560001</v>
      </c>
      <c r="I47" s="194">
        <f>I46*D47/1000</f>
        <v>47.735258256000002</v>
      </c>
      <c r="J47" s="194">
        <f>SUM(K47:L47)</f>
        <v>61.611042867408003</v>
      </c>
      <c r="K47" s="194">
        <f>H39*0.45+H47*0.55</f>
        <v>16.294425826608002</v>
      </c>
      <c r="L47" s="194">
        <f>+I39*0.45+I47*0.55</f>
        <v>45.316617040800004</v>
      </c>
      <c r="O47" s="249"/>
      <c r="P47" s="249"/>
      <c r="Q47" s="249"/>
      <c r="R47" s="249"/>
      <c r="S47" s="249"/>
      <c r="T47" s="249"/>
    </row>
    <row r="48" spans="2:20" ht="15.75" thickBot="1">
      <c r="B48" s="263"/>
      <c r="C48" s="220" t="s">
        <v>130</v>
      </c>
      <c r="D48" s="244"/>
      <c r="E48" s="222"/>
      <c r="F48" s="223" t="s">
        <v>132</v>
      </c>
      <c r="G48" s="231"/>
      <c r="H48" s="232"/>
      <c r="I48" s="232"/>
      <c r="J48" s="241"/>
      <c r="K48" s="232"/>
      <c r="L48" s="232"/>
      <c r="O48" s="249"/>
      <c r="P48" s="249"/>
      <c r="Q48" s="249"/>
      <c r="R48" s="249"/>
      <c r="S48" s="249"/>
      <c r="T48" s="249"/>
    </row>
    <row r="49" spans="2:12" ht="15.75" thickBot="1">
      <c r="B49" s="263"/>
      <c r="C49" s="224"/>
      <c r="D49" s="225"/>
      <c r="E49" s="226"/>
      <c r="F49" s="227" t="s">
        <v>139</v>
      </c>
      <c r="G49" s="193"/>
      <c r="H49" s="193"/>
      <c r="I49" s="193"/>
      <c r="J49" s="238"/>
      <c r="K49" s="193"/>
      <c r="L49" s="193"/>
    </row>
    <row r="50" spans="2:12" ht="15.75" thickBot="1">
      <c r="B50" s="263"/>
      <c r="C50" s="220" t="s">
        <v>147</v>
      </c>
      <c r="D50" s="244">
        <f>+D38</f>
        <v>15.97</v>
      </c>
      <c r="E50" s="222" t="s">
        <v>137</v>
      </c>
      <c r="F50" s="223" t="s">
        <v>132</v>
      </c>
      <c r="G50" s="173">
        <f>+I50+H50</f>
        <v>803</v>
      </c>
      <c r="H50" s="173"/>
      <c r="I50" s="173">
        <v>803</v>
      </c>
      <c r="J50" s="241"/>
      <c r="K50" s="232"/>
      <c r="L50" s="232"/>
    </row>
    <row r="51" spans="2:12" ht="15.75" thickBot="1">
      <c r="B51" s="263"/>
      <c r="C51" s="224"/>
      <c r="D51" s="225">
        <v>17.63</v>
      </c>
      <c r="E51" s="226" t="s">
        <v>143</v>
      </c>
      <c r="F51" s="227" t="s">
        <v>139</v>
      </c>
      <c r="G51" s="193">
        <f>G50*D51/1000</f>
        <v>14.156889999999999</v>
      </c>
      <c r="H51" s="193"/>
      <c r="I51" s="193">
        <f>+I50*D51/1000</f>
        <v>14.156889999999999</v>
      </c>
      <c r="J51" s="194">
        <f>SUM(K51:L51)</f>
        <v>14.034030999999999</v>
      </c>
      <c r="K51" s="194"/>
      <c r="L51" s="194">
        <f>+I51*0.55+I43*0.45</f>
        <v>14.034030999999999</v>
      </c>
    </row>
    <row r="52" spans="2:12" ht="15.75" thickBot="1">
      <c r="B52" s="263"/>
      <c r="C52" s="220" t="s">
        <v>158</v>
      </c>
      <c r="D52" s="244">
        <f>+D46</f>
        <v>18</v>
      </c>
      <c r="E52" s="222" t="s">
        <v>137</v>
      </c>
      <c r="F52" s="223" t="s">
        <v>132</v>
      </c>
      <c r="G52" s="173">
        <f>+I52+H52</f>
        <v>24</v>
      </c>
      <c r="H52" s="173">
        <v>3</v>
      </c>
      <c r="I52" s="173">
        <v>21</v>
      </c>
      <c r="J52" s="241"/>
      <c r="K52" s="232"/>
      <c r="L52" s="232"/>
    </row>
    <row r="53" spans="2:12" ht="15.75" thickBot="1">
      <c r="B53" s="263"/>
      <c r="C53" s="224"/>
      <c r="D53" s="225">
        <f>+D47</f>
        <v>19.483778879999999</v>
      </c>
      <c r="E53" s="226" t="s">
        <v>143</v>
      </c>
      <c r="F53" s="227" t="s">
        <v>139</v>
      </c>
      <c r="G53" s="193">
        <f>G52*D53/1000</f>
        <v>0.46761069311999998</v>
      </c>
      <c r="H53" s="193">
        <f>+H52*D53/1000</f>
        <v>5.8451336639999997E-2</v>
      </c>
      <c r="I53" s="193">
        <f>+I52*D53/1000</f>
        <v>0.40915935647999996</v>
      </c>
      <c r="J53" s="194">
        <f>SUM(K53:L53)</f>
        <v>0.257185881216</v>
      </c>
      <c r="K53" s="194">
        <f>+H53*0.55</f>
        <v>3.2148235152E-2</v>
      </c>
      <c r="L53" s="194">
        <f>+I53*0.55</f>
        <v>0.22503764606400001</v>
      </c>
    </row>
    <row r="54" spans="2:12" ht="15.75" thickBot="1">
      <c r="B54" s="263"/>
      <c r="C54" s="220" t="s">
        <v>76</v>
      </c>
      <c r="D54" s="221"/>
      <c r="E54" s="222"/>
      <c r="F54" s="223" t="s">
        <v>132</v>
      </c>
      <c r="G54" s="255">
        <f>+G46+G50+G52+G48</f>
        <v>4164</v>
      </c>
      <c r="H54" s="255">
        <f>+H46+H50+H52+H48</f>
        <v>890</v>
      </c>
      <c r="I54" s="255">
        <f>+I46+I50+I52+I48</f>
        <v>3274</v>
      </c>
      <c r="J54" s="254" t="s">
        <v>133</v>
      </c>
      <c r="K54" s="254"/>
      <c r="L54" s="254"/>
    </row>
    <row r="55" spans="2:12" ht="15.75" thickBot="1">
      <c r="B55" s="264"/>
      <c r="C55" s="224"/>
      <c r="D55" s="225"/>
      <c r="E55" s="243"/>
      <c r="F55" s="227" t="s">
        <v>139</v>
      </c>
      <c r="G55" s="253">
        <f t="shared" ref="G55:L55" si="0">+G47+G49+G51+G53</f>
        <v>79.641870815679994</v>
      </c>
      <c r="H55" s="257">
        <f t="shared" si="0"/>
        <v>17.340563203200002</v>
      </c>
      <c r="I55" s="253">
        <f t="shared" si="0"/>
        <v>62.301307612479995</v>
      </c>
      <c r="J55" s="253">
        <f t="shared" si="0"/>
        <v>75.902259748624004</v>
      </c>
      <c r="K55" s="253">
        <f t="shared" si="0"/>
        <v>16.326574061760002</v>
      </c>
      <c r="L55" s="253">
        <f t="shared" si="0"/>
        <v>59.575685686864006</v>
      </c>
    </row>
    <row r="56" spans="2:12">
      <c r="B56" s="265" t="s">
        <v>148</v>
      </c>
      <c r="C56" s="207" t="s">
        <v>136</v>
      </c>
      <c r="D56" s="239"/>
      <c r="E56" s="236" t="s">
        <v>137</v>
      </c>
      <c r="F56" s="210" t="s">
        <v>132</v>
      </c>
      <c r="G56" s="187"/>
      <c r="H56" s="173"/>
      <c r="I56" s="173"/>
      <c r="J56" s="232" t="s">
        <v>133</v>
      </c>
      <c r="K56" s="232"/>
      <c r="L56" s="232"/>
    </row>
    <row r="57" spans="2:12" ht="15.75" thickBot="1">
      <c r="B57" s="266"/>
      <c r="C57" s="211"/>
      <c r="D57" s="240"/>
      <c r="E57" s="237" t="s">
        <v>143</v>
      </c>
      <c r="F57" s="214" t="s">
        <v>139</v>
      </c>
      <c r="G57" s="193">
        <f>+H57+I57</f>
        <v>0</v>
      </c>
      <c r="H57" s="194">
        <f>H56*D57/1000</f>
        <v>0</v>
      </c>
      <c r="I57" s="194">
        <f>I56*D57/1000</f>
        <v>0</v>
      </c>
      <c r="J57" s="194">
        <f>SUM(K57:L57)</f>
        <v>29.257816555152004</v>
      </c>
      <c r="K57" s="256">
        <f>H47*0.45+H57*0.55</f>
        <v>7.776950339952001</v>
      </c>
      <c r="L57" s="194">
        <f>+I47*0.45+I57*0.55</f>
        <v>21.480866215200003</v>
      </c>
    </row>
    <row r="58" spans="2:12">
      <c r="B58" s="266"/>
      <c r="C58" s="207" t="s">
        <v>130</v>
      </c>
      <c r="D58" s="239"/>
      <c r="E58" s="236"/>
      <c r="F58" s="210" t="s">
        <v>132</v>
      </c>
      <c r="G58" s="231"/>
      <c r="H58" s="232"/>
      <c r="I58" s="232"/>
      <c r="J58" s="232" t="s">
        <v>133</v>
      </c>
      <c r="K58" s="232"/>
      <c r="L58" s="232"/>
    </row>
    <row r="59" spans="2:12" ht="15.75" thickBot="1">
      <c r="B59" s="266"/>
      <c r="C59" s="211"/>
      <c r="D59" s="240"/>
      <c r="E59" s="237"/>
      <c r="F59" s="214" t="s">
        <v>134</v>
      </c>
      <c r="G59" s="193">
        <f>G58*D58/1000</f>
        <v>0</v>
      </c>
      <c r="H59" s="193"/>
      <c r="I59" s="193"/>
      <c r="J59" s="238">
        <f>SUM(G49*45%)+(G59*55%)</f>
        <v>0</v>
      </c>
      <c r="K59" s="193"/>
      <c r="L59" s="193"/>
    </row>
    <row r="60" spans="2:12">
      <c r="B60" s="266"/>
      <c r="C60" s="207" t="s">
        <v>147</v>
      </c>
      <c r="D60" s="239">
        <v>15.97</v>
      </c>
      <c r="E60" s="236"/>
      <c r="F60" s="210" t="s">
        <v>132</v>
      </c>
      <c r="G60" s="173">
        <f>+H60+I60</f>
        <v>803</v>
      </c>
      <c r="H60" s="173"/>
      <c r="I60" s="173">
        <v>803</v>
      </c>
      <c r="J60" s="232" t="s">
        <v>133</v>
      </c>
      <c r="K60" s="232"/>
      <c r="L60" s="232"/>
    </row>
    <row r="61" spans="2:12" ht="15.75" thickBot="1">
      <c r="B61" s="266"/>
      <c r="C61" s="211"/>
      <c r="D61" s="245">
        <f>+D60*1.02^6</f>
        <v>17.984813835646083</v>
      </c>
      <c r="E61" s="237"/>
      <c r="F61" s="214" t="s">
        <v>134</v>
      </c>
      <c r="G61" s="193">
        <f>+H61+I61</f>
        <v>14.441805510023805</v>
      </c>
      <c r="H61" s="193"/>
      <c r="I61" s="193">
        <f>+I60*D61/1000</f>
        <v>14.441805510023805</v>
      </c>
      <c r="J61" s="238">
        <f>SUM(K61:L61)</f>
        <v>14.313593530513092</v>
      </c>
      <c r="K61" s="193"/>
      <c r="L61" s="194">
        <f>+I51*0.45+I61*0.55</f>
        <v>14.313593530513092</v>
      </c>
    </row>
    <row r="62" spans="2:12">
      <c r="B62" s="266"/>
      <c r="C62" s="207" t="s">
        <v>158</v>
      </c>
      <c r="D62" s="239">
        <f>+D46</f>
        <v>18</v>
      </c>
      <c r="E62" s="236"/>
      <c r="F62" s="210" t="s">
        <v>132</v>
      </c>
      <c r="G62" s="173">
        <f>+H62+I62</f>
        <v>24</v>
      </c>
      <c r="H62" s="173">
        <v>3</v>
      </c>
      <c r="I62" s="173">
        <v>21</v>
      </c>
      <c r="J62" s="232" t="s">
        <v>133</v>
      </c>
      <c r="K62" s="232"/>
      <c r="L62" s="232"/>
    </row>
    <row r="63" spans="2:12" ht="15.75" thickBot="1">
      <c r="B63" s="266"/>
      <c r="C63" s="211"/>
      <c r="D63" s="245">
        <f>+D62*1.02^5</f>
        <v>19.873454457600001</v>
      </c>
      <c r="E63" s="237"/>
      <c r="F63" s="214" t="s">
        <v>134</v>
      </c>
      <c r="G63" s="193">
        <f>+H63+I63</f>
        <v>0.47696290698240001</v>
      </c>
      <c r="H63" s="193">
        <f>+H62*D63/1000</f>
        <v>5.9620363372800002E-2</v>
      </c>
      <c r="I63" s="193">
        <f>+I62*D63/1000</f>
        <v>0.41734254360959999</v>
      </c>
      <c r="J63" s="238">
        <f>SUM(K63:L63)</f>
        <v>0.47275441074431995</v>
      </c>
      <c r="K63" s="193">
        <f>+H63*0.55+H53*0.45</f>
        <v>5.9094301343040001E-2</v>
      </c>
      <c r="L63" s="194">
        <f>+I63*0.55+I53*0.45</f>
        <v>0.41366010940127995</v>
      </c>
    </row>
    <row r="64" spans="2:12">
      <c r="B64" s="266"/>
      <c r="C64" s="207" t="s">
        <v>76</v>
      </c>
      <c r="D64" s="208"/>
      <c r="E64" s="209"/>
      <c r="F64" s="210" t="s">
        <v>132</v>
      </c>
      <c r="G64" s="255">
        <f>+G62+G60+G58+G56</f>
        <v>827</v>
      </c>
      <c r="H64" s="255">
        <f>+H62+H60+H58+H56</f>
        <v>3</v>
      </c>
      <c r="I64" s="255">
        <f>+I62+I60+I58+I56</f>
        <v>824</v>
      </c>
      <c r="J64" s="254" t="s">
        <v>133</v>
      </c>
      <c r="K64" s="254"/>
      <c r="L64" s="254"/>
    </row>
    <row r="65" spans="1:12" ht="15.75" thickBot="1">
      <c r="B65" s="267"/>
      <c r="C65" s="215"/>
      <c r="D65" s="218"/>
      <c r="E65" s="216"/>
      <c r="F65" s="219" t="s">
        <v>139</v>
      </c>
      <c r="G65" s="253">
        <f t="shared" ref="G65:L65" si="1">+G57+G59+G61+G63</f>
        <v>14.918768417006206</v>
      </c>
      <c r="H65" s="252">
        <f t="shared" si="1"/>
        <v>5.9620363372800002E-2</v>
      </c>
      <c r="I65" s="251">
        <f t="shared" si="1"/>
        <v>14.859148053633405</v>
      </c>
      <c r="J65" s="251">
        <f t="shared" si="1"/>
        <v>44.044164496409415</v>
      </c>
      <c r="K65" s="251">
        <f t="shared" si="1"/>
        <v>7.8360446412950413</v>
      </c>
      <c r="L65" s="251">
        <f t="shared" si="1"/>
        <v>36.208119855114376</v>
      </c>
    </row>
    <row r="66" spans="1:12">
      <c r="E66" s="162"/>
      <c r="G66" s="162"/>
      <c r="H66" s="246"/>
      <c r="I66" s="246"/>
      <c r="J66" s="246"/>
      <c r="K66" s="246"/>
      <c r="L66" s="246"/>
    </row>
    <row r="67" spans="1:12">
      <c r="B67" s="166"/>
      <c r="C67" s="166"/>
      <c r="D67" s="166"/>
      <c r="E67" s="166"/>
      <c r="F67" s="166"/>
      <c r="G67" s="246"/>
      <c r="H67" s="246"/>
      <c r="I67" s="246"/>
      <c r="J67" s="246"/>
      <c r="K67" s="246"/>
      <c r="L67" s="246"/>
    </row>
    <row r="68" spans="1:12">
      <c r="B68" s="247" t="s">
        <v>1</v>
      </c>
    </row>
    <row r="69" spans="1:12">
      <c r="A69" s="162">
        <v>1</v>
      </c>
      <c r="B69" s="248" t="s">
        <v>33</v>
      </c>
      <c r="C69" s="248"/>
      <c r="D69" s="248"/>
      <c r="F69" s="248"/>
    </row>
    <row r="70" spans="1:12">
      <c r="A70" s="162">
        <f t="shared" ref="A70:A78" si="2">+A69+1</f>
        <v>2</v>
      </c>
      <c r="B70" s="248" t="s">
        <v>149</v>
      </c>
      <c r="C70" s="248"/>
      <c r="D70" s="248"/>
      <c r="F70" s="248"/>
    </row>
    <row r="71" spans="1:12">
      <c r="A71" s="162">
        <f t="shared" si="2"/>
        <v>3</v>
      </c>
      <c r="B71" s="248" t="s">
        <v>150</v>
      </c>
      <c r="C71" s="248"/>
      <c r="D71" s="248"/>
      <c r="F71" s="248"/>
    </row>
    <row r="72" spans="1:12">
      <c r="A72" s="162">
        <f t="shared" si="2"/>
        <v>4</v>
      </c>
      <c r="B72" s="248" t="s">
        <v>151</v>
      </c>
      <c r="C72" s="248"/>
      <c r="D72" s="248"/>
      <c r="F72" s="248"/>
    </row>
    <row r="73" spans="1:12">
      <c r="A73" s="162">
        <f t="shared" si="2"/>
        <v>5</v>
      </c>
      <c r="B73" s="248" t="s">
        <v>152</v>
      </c>
      <c r="C73" s="248"/>
      <c r="D73" s="248"/>
      <c r="F73" s="248"/>
    </row>
    <row r="74" spans="1:12">
      <c r="A74" s="162">
        <f t="shared" si="2"/>
        <v>6</v>
      </c>
      <c r="B74" s="248" t="s">
        <v>153</v>
      </c>
    </row>
    <row r="75" spans="1:12">
      <c r="A75" s="162">
        <f t="shared" si="2"/>
        <v>7</v>
      </c>
      <c r="B75" s="248" t="s">
        <v>157</v>
      </c>
    </row>
    <row r="76" spans="1:12">
      <c r="A76" s="162">
        <f t="shared" si="2"/>
        <v>8</v>
      </c>
      <c r="B76" s="248" t="s">
        <v>154</v>
      </c>
    </row>
    <row r="77" spans="1:12">
      <c r="A77" s="162">
        <f t="shared" si="2"/>
        <v>9</v>
      </c>
      <c r="B77" s="248" t="s">
        <v>155</v>
      </c>
    </row>
    <row r="78" spans="1:12">
      <c r="A78" s="162">
        <f t="shared" si="2"/>
        <v>10</v>
      </c>
      <c r="B78" s="248" t="s">
        <v>156</v>
      </c>
    </row>
    <row r="79" spans="1:12" ht="17.25" customHeight="1"/>
  </sheetData>
  <mergeCells count="8">
    <mergeCell ref="B46:B55"/>
    <mergeCell ref="B56:B65"/>
    <mergeCell ref="B8:B13"/>
    <mergeCell ref="B14:B19"/>
    <mergeCell ref="B20:B25"/>
    <mergeCell ref="B26:B31"/>
    <mergeCell ref="B32:B37"/>
    <mergeCell ref="B38:B45"/>
  </mergeCells>
  <pageMargins left="0.7" right="0.7" top="0.75" bottom="0.75" header="0.3" footer="0.3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CB574C9502C343810184915A576AA4" ma:contentTypeVersion="12" ma:contentTypeDescription="Create a new document." ma:contentTypeScope="" ma:versionID="7c26237e6ae2dd2beafbbe9e915dacde">
  <xsd:schema xmlns:xsd="http://www.w3.org/2001/XMLSchema" xmlns:xs="http://www.w3.org/2001/XMLSchema" xmlns:p="http://schemas.microsoft.com/office/2006/metadata/properties" xmlns:ns2="49146ab5-f8c2-4167-897a-b95212cd3ef8" xmlns:ns3="1e681c64-5c0d-4c79-90c7-e6ea057e8181" targetNamespace="http://schemas.microsoft.com/office/2006/metadata/properties" ma:root="true" ma:fieldsID="430ae7df0143d2665ea9a254a83186d5" ns2:_="" ns3:_="">
    <xsd:import namespace="49146ab5-f8c2-4167-897a-b95212cd3ef8"/>
    <xsd:import namespace="1e681c64-5c0d-4c79-90c7-e6ea057e81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46ab5-f8c2-4167-897a-b95212cd3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681c64-5c0d-4c79-90c7-e6ea057e81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842741-9EEC-4D40-A274-BFCE35156C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D4E6AA-A020-4E5C-B00E-9BB24534813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e681c64-5c0d-4c79-90c7-e6ea057e8181"/>
    <ds:schemaRef ds:uri="http://purl.org/dc/terms/"/>
    <ds:schemaRef ds:uri="49146ab5-f8c2-4167-897a-b95212cd3ef8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B65DD0F-DEE1-4D0B-A47A-FF6762AE4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146ab5-f8c2-4167-897a-b95212cd3ef8"/>
    <ds:schemaRef ds:uri="1e681c64-5c0d-4c79-90c7-e6ea057e81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Thermal Capacity (MW)</vt:lpstr>
      <vt:lpstr>Generation (GWh)</vt:lpstr>
      <vt:lpstr>GB Cap Mech Payments (£m)</vt:lpstr>
      <vt:lpstr>'GB Cap Mech Payments (£m)'!Print_Area</vt:lpstr>
      <vt:lpstr>'Generation (GWh)'!Print_Area</vt:lpstr>
      <vt:lpstr>'Thermal Capacity (MW)'!Print_Area</vt:lpstr>
    </vt:vector>
  </TitlesOfParts>
  <Company>SSE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Marlon</dc:creator>
  <cp:lastModifiedBy>Hall, Marlon</cp:lastModifiedBy>
  <cp:lastPrinted>2021-05-20T10:28:25Z</cp:lastPrinted>
  <dcterms:created xsi:type="dcterms:W3CDTF">2021-04-21T09:16:00Z</dcterms:created>
  <dcterms:modified xsi:type="dcterms:W3CDTF">2021-05-25T10:33:27Z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0x010100ABCB574C9502C343810184915A576AA4</vt:lpwstr>
  </property>
</Properties>
</file>