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ecom.sharepoint.com/teams/corporate-ir-results/Results Materials/Full Year Results FY2021/Final Versions for Upload/"/>
    </mc:Choice>
  </mc:AlternateContent>
  <xr:revisionPtr revIDLastSave="195" documentId="8_{D3EF9E23-2168-4097-B7C1-71BC34BBE5A7}" xr6:coauthVersionLast="45" xr6:coauthVersionMax="47" xr10:uidLastSave="{5D61C6CC-10A8-40AA-969F-28A6C38303DB}"/>
  <bookViews>
    <workbookView xWindow="-120" yWindow="-120" windowWidth="38640" windowHeight="21240" xr2:uid="{DA59D32A-D456-4E46-AADE-DF83D7877090}"/>
  </bookViews>
  <sheets>
    <sheet name="Wind (MW)" sheetId="9" r:id="rId1"/>
    <sheet name="Hydro (MW)" sheetId="8" r:id="rId2"/>
    <sheet name="Output (GWh)" sheetId="10" r:id="rId3"/>
    <sheet name="Pipeline (MW)" sheetId="11" r:id="rId4"/>
    <sheet name="Load Factor test won't publish" sheetId="6" state="hidden" r:id="rId5"/>
    <sheet name="GB Cap Mech Payments (£m)" sheetId="12" r:id="rId6"/>
  </sheets>
  <definedNames>
    <definedName name="\M" localSheetId="5">#REF!</definedName>
    <definedName name="\M" localSheetId="1">#REF!</definedName>
    <definedName name="\M" localSheetId="4">#REF!</definedName>
    <definedName name="\M" localSheetId="2">#REF!</definedName>
    <definedName name="\M" localSheetId="3">#REF!</definedName>
    <definedName name="\M" localSheetId="0">#REF!</definedName>
    <definedName name="\M">#REF!</definedName>
    <definedName name="_xlnm.Print_Area" localSheetId="5">'GB Cap Mech Payments (£m)'!$B$1:$L$79</definedName>
    <definedName name="_xlnm.Print_Area" localSheetId="1">'Hydro (MW)'!$A$12:$G$106</definedName>
    <definedName name="_xlnm.Print_Area" localSheetId="4">'Load Factor test won''t publish'!$B$2:$F$75</definedName>
    <definedName name="_xlnm.Print_Area" localSheetId="2">'Output (GWh)'!$A$1:$F$81</definedName>
    <definedName name="_xlnm.Print_Area" localSheetId="3">'Pipeline (MW)'!$A$1:$I$34</definedName>
    <definedName name="_xlnm.Print_Area" localSheetId="0">'Wind (MW)'!$A$12:$R$72</definedName>
    <definedName name="Z_0125E41D_1983_4A40_BB2B_0EBC69FA67D2_.wvu.PrintArea" localSheetId="4" hidden="1">'Load Factor test won''t publish'!$B$2:$F$75</definedName>
    <definedName name="Z_0125E41D_1983_4A40_BB2B_0EBC69FA67D2_.wvu.PrintArea" localSheetId="2" hidden="1">'Output (GWh)'!$A$2:$F$75</definedName>
    <definedName name="Z_0C38E538_974B_4A61_B3B3_B208E1C4473A_.wvu.PrintArea" localSheetId="4" hidden="1">'Load Factor test won''t publish'!$B$1:$F$75</definedName>
    <definedName name="Z_0C38E538_974B_4A61_B3B3_B208E1C4473A_.wvu.PrintArea" localSheetId="2" hidden="1">'Output (GWh)'!$A$1:$F$75</definedName>
    <definedName name="Z_0E9423C1_F796_4A89_9CF3_B954A04617D7_.wvu.PrintArea" localSheetId="4" hidden="1">'Load Factor test won''t publish'!$B$2:$F$75</definedName>
    <definedName name="Z_0E9423C1_F796_4A89_9CF3_B954A04617D7_.wvu.PrintArea" localSheetId="2" hidden="1">'Output (GWh)'!$A$2:$F$75</definedName>
    <definedName name="Z_15DC5DE5_84A2_4C6D_AE4B_5283B48EFE88_.wvu.PrintArea" localSheetId="4" hidden="1">'Load Factor test won''t publish'!$B$2:$F$75</definedName>
    <definedName name="Z_15DC5DE5_84A2_4C6D_AE4B_5283B48EFE88_.wvu.PrintArea" localSheetId="2" hidden="1">'Output (GWh)'!$A$2:$F$75</definedName>
    <definedName name="Z_16698397_7DC0_4ECC_A466_AF14BF75CE05_.wvu.Cols" localSheetId="4" hidden="1">'Load Factor test won''t publish'!#REF!,'Load Factor test won''t publish'!#REF!,'Load Factor test won''t publish'!#REF!</definedName>
    <definedName name="Z_16698397_7DC0_4ECC_A466_AF14BF75CE05_.wvu.Cols" localSheetId="2" hidden="1">'Output (GWh)'!#REF!,'Output (GWh)'!#REF!,'Output (GWh)'!#REF!</definedName>
    <definedName name="Z_16698397_7DC0_4ECC_A466_AF14BF75CE05_.wvu.PrintArea" localSheetId="4" hidden="1">'Load Factor test won''t publish'!$B$2:$F$75</definedName>
    <definedName name="Z_16698397_7DC0_4ECC_A466_AF14BF75CE05_.wvu.PrintArea" localSheetId="2" hidden="1">'Output (GWh)'!$A$2:$F$75</definedName>
    <definedName name="Z_16865923_8594_4E8A_AD72_EC3A1F3C4099_.wvu.PrintArea" localSheetId="4" hidden="1">'Load Factor test won''t publish'!$B$2:$F$75</definedName>
    <definedName name="Z_16865923_8594_4E8A_AD72_EC3A1F3C4099_.wvu.PrintArea" localSheetId="2" hidden="1">'Output (GWh)'!$A$2:$F$75</definedName>
    <definedName name="Z_18F050DC_F39D_413D_84B3_3BC09CE53410_.wvu.PrintArea" localSheetId="4" hidden="1">'Load Factor test won''t publish'!$B$2:$F$75</definedName>
    <definedName name="Z_18F050DC_F39D_413D_84B3_3BC09CE53410_.wvu.PrintArea" localSheetId="2" hidden="1">'Output (GWh)'!$A$2:$F$75</definedName>
    <definedName name="Z_19674750_F01D_4BD1_8382_0E2A761C1F91_.wvu.PrintArea" localSheetId="4" hidden="1">'Load Factor test won''t publish'!$B$2:$F$75</definedName>
    <definedName name="Z_19674750_F01D_4BD1_8382_0E2A761C1F91_.wvu.PrintArea" localSheetId="2" hidden="1">'Output (GWh)'!$A$2:$F$75</definedName>
    <definedName name="Z_1BBD8CA9_7E14_477D_A137_18FF4A67D671_.wvu.PrintArea" localSheetId="4" hidden="1">'Load Factor test won''t publish'!$B$2:$F$75</definedName>
    <definedName name="Z_1BBD8CA9_7E14_477D_A137_18FF4A67D671_.wvu.PrintArea" localSheetId="2" hidden="1">'Output (GWh)'!$A$2:$F$75</definedName>
    <definedName name="Z_247FF2C7_CCB5_49AC_96EB_42AC14AF0E92_.wvu.PrintArea" localSheetId="4" hidden="1">'Load Factor test won''t publish'!$B$2:$F$75</definedName>
    <definedName name="Z_247FF2C7_CCB5_49AC_96EB_42AC14AF0E92_.wvu.PrintArea" localSheetId="2" hidden="1">'Output (GWh)'!$A$2:$F$75</definedName>
    <definedName name="Z_24807A64_62CB_463A_92F2_7DE387F5131E_.wvu.PrintArea" localSheetId="4" hidden="1">'Load Factor test won''t publish'!$B$2:$F$75</definedName>
    <definedName name="Z_24807A64_62CB_463A_92F2_7DE387F5131E_.wvu.PrintArea" localSheetId="2" hidden="1">'Output (GWh)'!$A$2:$F$75</definedName>
    <definedName name="Z_25114ACD_CE5E_4F43_A971_76F7562DFDBD_.wvu.PrintArea" localSheetId="4" hidden="1">'Load Factor test won''t publish'!$B$2:$F$75</definedName>
    <definedName name="Z_25114ACD_CE5E_4F43_A971_76F7562DFDBD_.wvu.PrintArea" localSheetId="2" hidden="1">'Output (GWh)'!$A$2:$F$75</definedName>
    <definedName name="Z_294A5928_262D_4E26_BAF8_241065771519_.wvu.PrintArea" localSheetId="4" hidden="1">'Load Factor test won''t publish'!$B$2:$F$75</definedName>
    <definedName name="Z_294A5928_262D_4E26_BAF8_241065771519_.wvu.PrintArea" localSheetId="2" hidden="1">'Output (GWh)'!$A$2:$F$75</definedName>
    <definedName name="Z_2AA7E281_10E9_4978_8991_EA311CBE88D1_.wvu.PrintArea" localSheetId="4" hidden="1">'Load Factor test won''t publish'!$B$2:$F$75</definedName>
    <definedName name="Z_2AA7E281_10E9_4978_8991_EA311CBE88D1_.wvu.PrintArea" localSheetId="2" hidden="1">'Output (GWh)'!$A$2:$F$75</definedName>
    <definedName name="Z_2D76A199_FC1F_4BEF_8F7B_25B1751A8F01_.wvu.PrintArea" localSheetId="4" hidden="1">'Load Factor test won''t publish'!$B$2:$F$75</definedName>
    <definedName name="Z_2D76A199_FC1F_4BEF_8F7B_25B1751A8F01_.wvu.PrintArea" localSheetId="2" hidden="1">'Output (GWh)'!$A$2:$F$75</definedName>
    <definedName name="Z_39C5EBEA_7BD9_44C6_A5A4_86DD4F3F9254_.wvu.PrintArea" localSheetId="4" hidden="1">'Load Factor test won''t publish'!$B$1:$F$75</definedName>
    <definedName name="Z_39C5EBEA_7BD9_44C6_A5A4_86DD4F3F9254_.wvu.PrintArea" localSheetId="2" hidden="1">'Output (GWh)'!$A$1:$F$75</definedName>
    <definedName name="Z_3C138B24_BBC4_4D43_B3F7_EC9EBE12CEC0_.wvu.Cols" localSheetId="4" hidden="1">'Load Factor test won''t publish'!#REF!,'Load Factor test won''t publish'!#REF!,'Load Factor test won''t publish'!#REF!</definedName>
    <definedName name="Z_3C138B24_BBC4_4D43_B3F7_EC9EBE12CEC0_.wvu.Cols" localSheetId="2" hidden="1">'Output (GWh)'!#REF!,'Output (GWh)'!#REF!,'Output (GWh)'!#REF!</definedName>
    <definedName name="Z_3C138B24_BBC4_4D43_B3F7_EC9EBE12CEC0_.wvu.PrintArea" localSheetId="4" hidden="1">'Load Factor test won''t publish'!$B$2:$F$75</definedName>
    <definedName name="Z_3C138B24_BBC4_4D43_B3F7_EC9EBE12CEC0_.wvu.PrintArea" localSheetId="2" hidden="1">'Output (GWh)'!$A$2:$F$75</definedName>
    <definedName name="Z_4281B0FA_8102_40F9_B95F_6986AC12D877_.wvu.PrintArea" localSheetId="4" hidden="1">'Load Factor test won''t publish'!$B$2:$F$75</definedName>
    <definedName name="Z_4281B0FA_8102_40F9_B95F_6986AC12D877_.wvu.PrintArea" localSheetId="2" hidden="1">'Output (GWh)'!$A$2:$F$75</definedName>
    <definedName name="Z_47CA4D7E_0B83_422C_9065_002E1AE3BA05_.wvu.PrintArea" localSheetId="4" hidden="1">'Load Factor test won''t publish'!$B$2:$F$75</definedName>
    <definedName name="Z_47CA4D7E_0B83_422C_9065_002E1AE3BA05_.wvu.PrintArea" localSheetId="2" hidden="1">'Output (GWh)'!$A$2:$F$75</definedName>
    <definedName name="Z_4B03FF7D_C653_4EB2_8B02_C800DE18372C_.wvu.PrintArea" localSheetId="4" hidden="1">'Load Factor test won''t publish'!$B$2:$F$75</definedName>
    <definedName name="Z_4B03FF7D_C653_4EB2_8B02_C800DE18372C_.wvu.PrintArea" localSheetId="2" hidden="1">'Output (GWh)'!$A$2:$F$75</definedName>
    <definedName name="Z_4B38D6AD_6C9A_4A02_83E7_9E5AFD04EB4E_.wvu.PrintArea" localSheetId="4" hidden="1">'Load Factor test won''t publish'!$B$2:$F$75</definedName>
    <definedName name="Z_4B38D6AD_6C9A_4A02_83E7_9E5AFD04EB4E_.wvu.PrintArea" localSheetId="2" hidden="1">'Output (GWh)'!$A$2:$F$75</definedName>
    <definedName name="Z_4D13C42A_BAFF_49A8_B45F_DDDCCF2FCAB6_.wvu.PrintArea" localSheetId="4" hidden="1">'Load Factor test won''t publish'!$B$2:$F$75</definedName>
    <definedName name="Z_4D13C42A_BAFF_49A8_B45F_DDDCCF2FCAB6_.wvu.PrintArea" localSheetId="2" hidden="1">'Output (GWh)'!$A$2:$F$75</definedName>
    <definedName name="Z_51A2EF6C_28BC_4170_A855_C6AB509C036F_.wvu.Cols" localSheetId="4" hidden="1">'Load Factor test won''t publish'!#REF!,'Load Factor test won''t publish'!#REF!,'Load Factor test won''t publish'!#REF!</definedName>
    <definedName name="Z_51A2EF6C_28BC_4170_A855_C6AB509C036F_.wvu.Cols" localSheetId="2" hidden="1">'Output (GWh)'!#REF!,'Output (GWh)'!#REF!,'Output (GWh)'!#REF!</definedName>
    <definedName name="Z_51A2EF6C_28BC_4170_A855_C6AB509C036F_.wvu.PrintArea" localSheetId="4" hidden="1">'Load Factor test won''t publish'!$B$2:$F$75</definedName>
    <definedName name="Z_51A2EF6C_28BC_4170_A855_C6AB509C036F_.wvu.PrintArea" localSheetId="2" hidden="1">'Output (GWh)'!$A$2:$F$75</definedName>
    <definedName name="Z_55AFA16D_3F10_4B77_B62C_727197E65095_.wvu.PrintArea" localSheetId="4" hidden="1">'Load Factor test won''t publish'!$B$2:$F$75</definedName>
    <definedName name="Z_55AFA16D_3F10_4B77_B62C_727197E65095_.wvu.PrintArea" localSheetId="2" hidden="1">'Output (GWh)'!$A$2:$F$75</definedName>
    <definedName name="Z_59200138_5BFE_4300_B9E1_207AC9ADA328_.wvu.PrintArea" localSheetId="4" hidden="1">'Load Factor test won''t publish'!$B$2:$F$75</definedName>
    <definedName name="Z_59200138_5BFE_4300_B9E1_207AC9ADA328_.wvu.PrintArea" localSheetId="2" hidden="1">'Output (GWh)'!$A$2:$F$75</definedName>
    <definedName name="Z_5FE1C2EF_6635_44CE_A61D_3143B9B529B8_.wvu.PrintArea" localSheetId="4" hidden="1">'Load Factor test won''t publish'!$B$2:$F$75</definedName>
    <definedName name="Z_5FE1C2EF_6635_44CE_A61D_3143B9B529B8_.wvu.PrintArea" localSheetId="2" hidden="1">'Output (GWh)'!$A$2:$F$75</definedName>
    <definedName name="Z_6537CF7E_A369_488B_93B5_F389D81E175E_.wvu.Cols" localSheetId="4" hidden="1">'Load Factor test won''t publish'!#REF!,'Load Factor test won''t publish'!#REF!,'Load Factor test won''t publish'!#REF!</definedName>
    <definedName name="Z_6537CF7E_A369_488B_93B5_F389D81E175E_.wvu.Cols" localSheetId="2" hidden="1">'Output (GWh)'!#REF!,'Output (GWh)'!#REF!,'Output (GWh)'!#REF!</definedName>
    <definedName name="Z_6537CF7E_A369_488B_93B5_F389D81E175E_.wvu.PrintArea" localSheetId="4" hidden="1">'Load Factor test won''t publish'!$B$2:$F$75</definedName>
    <definedName name="Z_6537CF7E_A369_488B_93B5_F389D81E175E_.wvu.PrintArea" localSheetId="2" hidden="1">'Output (GWh)'!$A$2:$F$75</definedName>
    <definedName name="Z_66A47AD3_033D_4628_BAC7_35A755FB4817_.wvu.PrintArea" localSheetId="4" hidden="1">'Load Factor test won''t publish'!$B$2:$F$75</definedName>
    <definedName name="Z_66A47AD3_033D_4628_BAC7_35A755FB4817_.wvu.PrintArea" localSheetId="2" hidden="1">'Output (GWh)'!$A$2:$F$75</definedName>
    <definedName name="Z_67FEEA3D_3D1D_4DF8_83EA_CC686EC28767_.wvu.PrintArea" localSheetId="4" hidden="1">'Load Factor test won''t publish'!$B$2:$F$75</definedName>
    <definedName name="Z_67FEEA3D_3D1D_4DF8_83EA_CC686EC28767_.wvu.PrintArea" localSheetId="2" hidden="1">'Output (GWh)'!$A$2:$F$75</definedName>
    <definedName name="Z_6F04FA18_0A5A_4C47_BAD7_7A57BCD25361_.wvu.PrintArea" localSheetId="4" hidden="1">'Load Factor test won''t publish'!$B$2:$F$75</definedName>
    <definedName name="Z_6F04FA18_0A5A_4C47_BAD7_7A57BCD25361_.wvu.PrintArea" localSheetId="2" hidden="1">'Output (GWh)'!$A$2:$F$75</definedName>
    <definedName name="Z_6FEB99AB_36D2_4614_B1D6_8E1E8B7D01A8_.wvu.PrintArea" localSheetId="4" hidden="1">'Load Factor test won''t publish'!$B$2:$F$75</definedName>
    <definedName name="Z_6FEB99AB_36D2_4614_B1D6_8E1E8B7D01A8_.wvu.PrintArea" localSheetId="2" hidden="1">'Output (GWh)'!$A$2:$F$75</definedName>
    <definedName name="Z_7105CB82_64B7_4719_A093_3824148D531A_.wvu.PrintArea" localSheetId="4" hidden="1">'Load Factor test won''t publish'!$B$2:$F$75</definedName>
    <definedName name="Z_7105CB82_64B7_4719_A093_3824148D531A_.wvu.PrintArea" localSheetId="2" hidden="1">'Output (GWh)'!$A$2:$F$75</definedName>
    <definedName name="Z_77A39290_3DC1_4291_9027_989EED6D435A_.wvu.Cols" localSheetId="4" hidden="1">'Load Factor test won''t publish'!#REF!,'Load Factor test won''t publish'!#REF!,'Load Factor test won''t publish'!#REF!</definedName>
    <definedName name="Z_77A39290_3DC1_4291_9027_989EED6D435A_.wvu.Cols" localSheetId="2" hidden="1">'Output (GWh)'!#REF!,'Output (GWh)'!#REF!,'Output (GWh)'!#REF!</definedName>
    <definedName name="Z_77A39290_3DC1_4291_9027_989EED6D435A_.wvu.PrintArea" localSheetId="4" hidden="1">'Load Factor test won''t publish'!$B$2:$F$75</definedName>
    <definedName name="Z_77A39290_3DC1_4291_9027_989EED6D435A_.wvu.PrintArea" localSheetId="2" hidden="1">'Output (GWh)'!$A$2:$F$75</definedName>
    <definedName name="Z_7B7D7C82_F31C_4926_8FF0_BB9DE19C5DDD_.wvu.PrintArea" localSheetId="4" hidden="1">'Load Factor test won''t publish'!$B$2:$F$75</definedName>
    <definedName name="Z_7B7D7C82_F31C_4926_8FF0_BB9DE19C5DDD_.wvu.PrintArea" localSheetId="2" hidden="1">'Output (GWh)'!$A$2:$F$75</definedName>
    <definedName name="Z_8955C2AD_8DC6_460E_99E0_2DEDF52723CD_.wvu.PrintArea" localSheetId="4" hidden="1">'Load Factor test won''t publish'!$B$2:$F$75</definedName>
    <definedName name="Z_8955C2AD_8DC6_460E_99E0_2DEDF52723CD_.wvu.PrintArea" localSheetId="2" hidden="1">'Output (GWh)'!$A$2:$F$75</definedName>
    <definedName name="Z_9A562491_F28A_42D8_AE62_CA41C3D38959_.wvu.PrintArea" localSheetId="4" hidden="1">'Load Factor test won''t publish'!$B$2:$F$75</definedName>
    <definedName name="Z_9A562491_F28A_42D8_AE62_CA41C3D38959_.wvu.PrintArea" localSheetId="2" hidden="1">'Output (GWh)'!$A$2:$F$75</definedName>
    <definedName name="Z_9A6D1684_2EE7_46D2_8438_A37BF42C226E_.wvu.PrintArea" localSheetId="4" hidden="1">'Load Factor test won''t publish'!$B$2:$F$75</definedName>
    <definedName name="Z_9A6D1684_2EE7_46D2_8438_A37BF42C226E_.wvu.PrintArea" localSheetId="2" hidden="1">'Output (GWh)'!$A$2:$F$75</definedName>
    <definedName name="Z_9EAC2112_C205_4136_8F00_D462EF8B3661_.wvu.PrintArea" localSheetId="4" hidden="1">'Load Factor test won''t publish'!$B$2:$F$75</definedName>
    <definedName name="Z_9EAC2112_C205_4136_8F00_D462EF8B3661_.wvu.PrintArea" localSheetId="2" hidden="1">'Output (GWh)'!$A$2:$F$75</definedName>
    <definedName name="Z_9F1CC75A_968D_46E7_B058_DD64ADBC932B_.wvu.PrintArea" localSheetId="4" hidden="1">'Load Factor test won''t publish'!$B$2:$F$75</definedName>
    <definedName name="Z_9F1CC75A_968D_46E7_B058_DD64ADBC932B_.wvu.PrintArea" localSheetId="2" hidden="1">'Output (GWh)'!$A$2:$F$75</definedName>
    <definedName name="Z_A7746F71_4754_4692_9D71_8F7544D1316D_.wvu.PrintArea" localSheetId="4" hidden="1">'Load Factor test won''t publish'!$B$2:$F$75</definedName>
    <definedName name="Z_A7746F71_4754_4692_9D71_8F7544D1316D_.wvu.PrintArea" localSheetId="2" hidden="1">'Output (GWh)'!$A$2:$F$75</definedName>
    <definedName name="Z_AB063CFE_9294_44C5_95B1_667CC7261874_.wvu.PrintArea" localSheetId="4" hidden="1">'Load Factor test won''t publish'!$B$2:$F$75</definedName>
    <definedName name="Z_AB063CFE_9294_44C5_95B1_667CC7261874_.wvu.PrintArea" localSheetId="2" hidden="1">'Output (GWh)'!$A$2:$F$75</definedName>
    <definedName name="Z_B9A794F0_1346_4D0B_B989_E81F4D548A61_.wvu.PrintArea" localSheetId="4" hidden="1">'Load Factor test won''t publish'!$B$2:$F$75</definedName>
    <definedName name="Z_B9A794F0_1346_4D0B_B989_E81F4D548A61_.wvu.PrintArea" localSheetId="2" hidden="1">'Output (GWh)'!$A$2:$F$75</definedName>
    <definedName name="Z_BDADCEA1_0138_4CD3_AFC1_DED1232BCBD6_.wvu.Cols" localSheetId="4" hidden="1">'Load Factor test won''t publish'!#REF!,'Load Factor test won''t publish'!#REF!,'Load Factor test won''t publish'!#REF!</definedName>
    <definedName name="Z_BDADCEA1_0138_4CD3_AFC1_DED1232BCBD6_.wvu.Cols" localSheetId="2" hidden="1">'Output (GWh)'!#REF!,'Output (GWh)'!#REF!,'Output (GWh)'!#REF!</definedName>
    <definedName name="Z_BDADCEA1_0138_4CD3_AFC1_DED1232BCBD6_.wvu.PrintArea" localSheetId="4" hidden="1">'Load Factor test won''t publish'!$B$2:$F$75</definedName>
    <definedName name="Z_BDADCEA1_0138_4CD3_AFC1_DED1232BCBD6_.wvu.PrintArea" localSheetId="2" hidden="1">'Output (GWh)'!$A$2:$F$75</definedName>
    <definedName name="Z_BFC15388_8AD6_4082_BEAD_887DFE777166_.wvu.PrintArea" localSheetId="4" hidden="1">'Load Factor test won''t publish'!$B$2:$F$75</definedName>
    <definedName name="Z_BFC15388_8AD6_4082_BEAD_887DFE777166_.wvu.PrintArea" localSheetId="2" hidden="1">'Output (GWh)'!$A$2:$F$75</definedName>
    <definedName name="Z_C391008E_4F95_479A_8EC3_AC049BBB1040_.wvu.Cols" localSheetId="4" hidden="1">'Load Factor test won''t publish'!#REF!,'Load Factor test won''t publish'!#REF!,'Load Factor test won''t publish'!#REF!</definedName>
    <definedName name="Z_C391008E_4F95_479A_8EC3_AC049BBB1040_.wvu.Cols" localSheetId="2" hidden="1">'Output (GWh)'!#REF!,'Output (GWh)'!#REF!,'Output (GWh)'!#REF!</definedName>
    <definedName name="Z_C391008E_4F95_479A_8EC3_AC049BBB1040_.wvu.PrintArea" localSheetId="4" hidden="1">'Load Factor test won''t publish'!$B$2:$F$75</definedName>
    <definedName name="Z_C391008E_4F95_479A_8EC3_AC049BBB1040_.wvu.PrintArea" localSheetId="2" hidden="1">'Output (GWh)'!$A$2:$F$75</definedName>
    <definedName name="Z_C43FA8BD_A3FC_402C_A964_B26529807178_.wvu.PrintArea" localSheetId="4" hidden="1">'Load Factor test won''t publish'!$B$2:$F$75</definedName>
    <definedName name="Z_C43FA8BD_A3FC_402C_A964_B26529807178_.wvu.PrintArea" localSheetId="2" hidden="1">'Output (GWh)'!$A$2:$F$75</definedName>
    <definedName name="Z_C5667C68_B2CC_464C_B811_1948039B455E_.wvu.PrintArea" localSheetId="4" hidden="1">'Load Factor test won''t publish'!$B$2:$F$75</definedName>
    <definedName name="Z_C5667C68_B2CC_464C_B811_1948039B455E_.wvu.PrintArea" localSheetId="2" hidden="1">'Output (GWh)'!$A$2:$F$75</definedName>
    <definedName name="Z_CA35A441_F70C_4633_BC3C_2F7488F70A38_.wvu.PrintArea" localSheetId="4" hidden="1">'Load Factor test won''t publish'!$B$2:$F$75</definedName>
    <definedName name="Z_CA35A441_F70C_4633_BC3C_2F7488F70A38_.wvu.PrintArea" localSheetId="2" hidden="1">'Output (GWh)'!$A$2:$F$75</definedName>
    <definedName name="Z_D2382E29_5261_41E7_99E9_019FCBEB32CB_.wvu.PrintArea" localSheetId="4" hidden="1">'Load Factor test won''t publish'!$B$2:$F$75</definedName>
    <definedName name="Z_D2382E29_5261_41E7_99E9_019FCBEB32CB_.wvu.PrintArea" localSheetId="2" hidden="1">'Output (GWh)'!$A$2:$F$75</definedName>
    <definedName name="Z_D51E0996_5ACE_4C01_968A_5A026A025F5E_.wvu.PrintArea" localSheetId="4" hidden="1">'Load Factor test won''t publish'!$B$2:$F$75</definedName>
    <definedName name="Z_D51E0996_5ACE_4C01_968A_5A026A025F5E_.wvu.PrintArea" localSheetId="2" hidden="1">'Output (GWh)'!$A$2:$F$75</definedName>
    <definedName name="Z_D629E184_2EE7_4899_9BD4_AE55F0F8A1DD_.wvu.PrintArea" localSheetId="4" hidden="1">'Load Factor test won''t publish'!$B$2:$F$75</definedName>
    <definedName name="Z_D629E184_2EE7_4899_9BD4_AE55F0F8A1DD_.wvu.PrintArea" localSheetId="2" hidden="1">'Output (GWh)'!$A$2:$F$75</definedName>
    <definedName name="Z_DC56B35E_ED7F_4B37_BF1D_48EE04FE50D3_.wvu.PrintArea" localSheetId="4" hidden="1">'Load Factor test won''t publish'!$B$2:$F$75</definedName>
    <definedName name="Z_DC56B35E_ED7F_4B37_BF1D_48EE04FE50D3_.wvu.PrintArea" localSheetId="2" hidden="1">'Output (GWh)'!$A$2:$F$75</definedName>
    <definedName name="Z_E5C237EA_9D0E_4B75_BD2C_7FEA16C532EE_.wvu.PrintArea" localSheetId="4" hidden="1">'Load Factor test won''t publish'!$B$2:$F$75</definedName>
    <definedName name="Z_E5C237EA_9D0E_4B75_BD2C_7FEA16C532EE_.wvu.PrintArea" localSheetId="2" hidden="1">'Output (GWh)'!$A$2:$F$75</definedName>
    <definedName name="Z_E82763EE_3C64_46A1_8759_A49FF3AF0025_.wvu.PrintArea" localSheetId="4" hidden="1">'Load Factor test won''t publish'!$B$2:$F$75</definedName>
    <definedName name="Z_E82763EE_3C64_46A1_8759_A49FF3AF0025_.wvu.PrintArea" localSheetId="2" hidden="1">'Output (GWh)'!$A$2:$F$75</definedName>
    <definedName name="Z_F33BFE65_F41C_4D89_BA52_1BA19BAB0841_.wvu.PrintArea" localSheetId="4" hidden="1">'Load Factor test won''t publish'!$B$2:$F$75</definedName>
    <definedName name="Z_F33BFE65_F41C_4D89_BA52_1BA19BAB0841_.wvu.PrintArea" localSheetId="2" hidden="1">'Output (GWh)'!$A$2:$F$75</definedName>
    <definedName name="Z_F3EF19BD_AA9B_43B1_AB53_D516E5BCDCC7_.wvu.PrintArea" localSheetId="4" hidden="1">'Load Factor test won''t publish'!$B$2:$F$75</definedName>
    <definedName name="Z_F3EF19BD_AA9B_43B1_AB53_D516E5BCDCC7_.wvu.PrintArea" localSheetId="2" hidden="1">'Output (GWh)'!$A$2:$F$75</definedName>
    <definedName name="Z_F7842529_04DE_4ABD_9564_24713D0852E1_.wvu.PrintArea" localSheetId="4" hidden="1">'Load Factor test won''t publish'!$B$2:$F$75</definedName>
    <definedName name="Z_F7842529_04DE_4ABD_9564_24713D0852E1_.wvu.PrintArea" localSheetId="2" hidden="1">'Output (GWh)'!$A$2:$F$75</definedName>
    <definedName name="Z_FAA0EA87_7401_4D05_B1AE_7D5A927FFBD5_.wvu.PrintArea" localSheetId="4" hidden="1">'Load Factor test won''t publish'!$B$2:$F$75</definedName>
    <definedName name="Z_FAA0EA87_7401_4D05_B1AE_7D5A927FFBD5_.wvu.PrintArea" localSheetId="2" hidden="1">'Output (GWh)'!$A$2:$F$75</definedName>
  </definedNames>
  <calcPr calcId="191028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1" l="1"/>
  <c r="F28" i="11"/>
  <c r="F26" i="11"/>
  <c r="F27" i="11"/>
  <c r="F25" i="11"/>
  <c r="F16" i="11" l="1"/>
  <c r="A71" i="12" l="1"/>
  <c r="A72" i="12" s="1"/>
  <c r="A73" i="12" s="1"/>
  <c r="A74" i="12" s="1"/>
  <c r="A75" i="12" s="1"/>
  <c r="A76" i="12" s="1"/>
  <c r="A77" i="12" s="1"/>
  <c r="A78" i="12" s="1"/>
  <c r="A70" i="12"/>
  <c r="I64" i="12"/>
  <c r="H64" i="12"/>
  <c r="D63" i="12"/>
  <c r="I63" i="12" s="1"/>
  <c r="G62" i="12"/>
  <c r="G64" i="12" s="1"/>
  <c r="D62" i="12"/>
  <c r="D61" i="12"/>
  <c r="I61" i="12" s="1"/>
  <c r="G60" i="12"/>
  <c r="G59" i="12"/>
  <c r="J59" i="12" s="1"/>
  <c r="I57" i="12"/>
  <c r="H57" i="12"/>
  <c r="G57" i="12"/>
  <c r="H54" i="12"/>
  <c r="G52" i="12"/>
  <c r="D52" i="12"/>
  <c r="I51" i="12"/>
  <c r="G50" i="12"/>
  <c r="G51" i="12" s="1"/>
  <c r="D50" i="12"/>
  <c r="D47" i="12"/>
  <c r="H47" i="12" s="1"/>
  <c r="I46" i="12"/>
  <c r="G46" i="12" s="1"/>
  <c r="I44" i="12"/>
  <c r="H44" i="12"/>
  <c r="D43" i="12"/>
  <c r="I43" i="12" s="1"/>
  <c r="G42" i="12"/>
  <c r="G43" i="12" s="1"/>
  <c r="D42" i="12"/>
  <c r="G41" i="12"/>
  <c r="J41" i="12" s="1"/>
  <c r="I39" i="12"/>
  <c r="H39" i="12"/>
  <c r="I38" i="12"/>
  <c r="G38" i="12"/>
  <c r="G39" i="12" s="1"/>
  <c r="G45" i="12" s="1"/>
  <c r="H36" i="12"/>
  <c r="G36" i="12"/>
  <c r="L35" i="12"/>
  <c r="H33" i="12"/>
  <c r="H37" i="12" s="1"/>
  <c r="G32" i="12"/>
  <c r="G33" i="12" s="1"/>
  <c r="G37" i="12" s="1"/>
  <c r="H30" i="12"/>
  <c r="G30" i="12"/>
  <c r="L29" i="12"/>
  <c r="H29" i="12"/>
  <c r="K35" i="12" s="1"/>
  <c r="G28" i="12"/>
  <c r="G29" i="12" s="1"/>
  <c r="H27" i="12"/>
  <c r="K33" i="12" s="1"/>
  <c r="G27" i="12"/>
  <c r="G31" i="12" s="1"/>
  <c r="G26" i="12"/>
  <c r="I26" i="12" s="1"/>
  <c r="G25" i="12"/>
  <c r="H24" i="12"/>
  <c r="G24" i="12"/>
  <c r="I21" i="12"/>
  <c r="I25" i="12" s="1"/>
  <c r="H21" i="12"/>
  <c r="K27" i="12" s="1"/>
  <c r="G21" i="12"/>
  <c r="I20" i="12"/>
  <c r="I24" i="12" s="1"/>
  <c r="K19" i="12"/>
  <c r="H19" i="12"/>
  <c r="G19" i="12"/>
  <c r="H18" i="12"/>
  <c r="G18" i="12"/>
  <c r="K15" i="12"/>
  <c r="H15" i="12"/>
  <c r="K21" i="12" s="1"/>
  <c r="G15" i="12"/>
  <c r="I14" i="12"/>
  <c r="I18" i="12" s="1"/>
  <c r="H12" i="12"/>
  <c r="G12" i="12"/>
  <c r="H11" i="12"/>
  <c r="H13" i="12" s="1"/>
  <c r="G11" i="12"/>
  <c r="I10" i="12"/>
  <c r="I11" i="12" s="1"/>
  <c r="K9" i="12"/>
  <c r="J9" i="12"/>
  <c r="I9" i="12"/>
  <c r="L9" i="12" s="1"/>
  <c r="H9" i="12"/>
  <c r="G9" i="12"/>
  <c r="G13" i="12" s="1"/>
  <c r="I8" i="12"/>
  <c r="I12" i="12" s="1"/>
  <c r="H7" i="12"/>
  <c r="K7" i="12" s="1"/>
  <c r="G6" i="12"/>
  <c r="G7" i="12" s="1"/>
  <c r="J7" i="12" s="1"/>
  <c r="I30" i="12" l="1"/>
  <c r="I27" i="12"/>
  <c r="K57" i="12"/>
  <c r="K13" i="12"/>
  <c r="K25" i="12"/>
  <c r="K37" i="12"/>
  <c r="L51" i="12"/>
  <c r="J51" i="12" s="1"/>
  <c r="L43" i="12"/>
  <c r="J43" i="12" s="1"/>
  <c r="G61" i="12"/>
  <c r="L61" i="12"/>
  <c r="J61" i="12" s="1"/>
  <c r="I65" i="12"/>
  <c r="L17" i="12"/>
  <c r="J17" i="12" s="1"/>
  <c r="I13" i="12"/>
  <c r="J35" i="12"/>
  <c r="J29" i="12"/>
  <c r="K47" i="12"/>
  <c r="G54" i="12"/>
  <c r="G47" i="12"/>
  <c r="H31" i="12"/>
  <c r="I47" i="12"/>
  <c r="L47" i="12" s="1"/>
  <c r="D53" i="12"/>
  <c r="K11" i="12"/>
  <c r="H25" i="12"/>
  <c r="L27" i="12"/>
  <c r="L31" i="12" s="1"/>
  <c r="I6" i="12"/>
  <c r="I7" i="12" s="1"/>
  <c r="K29" i="12"/>
  <c r="K31" i="12" s="1"/>
  <c r="I32" i="12"/>
  <c r="G44" i="12"/>
  <c r="H45" i="12"/>
  <c r="H63" i="12"/>
  <c r="I54" i="12"/>
  <c r="I15" i="12"/>
  <c r="K39" i="12"/>
  <c r="I45" i="12"/>
  <c r="I19" i="12" l="1"/>
  <c r="L21" i="12"/>
  <c r="L11" i="12"/>
  <c r="L13" i="12" s="1"/>
  <c r="L7" i="12"/>
  <c r="I53" i="12"/>
  <c r="G53" i="12"/>
  <c r="H53" i="12"/>
  <c r="I36" i="12"/>
  <c r="I33" i="12"/>
  <c r="G55" i="12"/>
  <c r="K63" i="12"/>
  <c r="G63" i="12"/>
  <c r="G65" i="12" s="1"/>
  <c r="J27" i="12"/>
  <c r="J31" i="12" s="1"/>
  <c r="H65" i="12"/>
  <c r="L33" i="12"/>
  <c r="I31" i="12"/>
  <c r="L57" i="12"/>
  <c r="I55" i="12"/>
  <c r="K45" i="12"/>
  <c r="L15" i="12"/>
  <c r="J47" i="12"/>
  <c r="J57" i="12"/>
  <c r="J63" i="12" l="1"/>
  <c r="K53" i="12"/>
  <c r="H55" i="12"/>
  <c r="K65" i="12"/>
  <c r="J11" i="12"/>
  <c r="J13" i="12" s="1"/>
  <c r="L25" i="12"/>
  <c r="J21" i="12"/>
  <c r="J25" i="12" s="1"/>
  <c r="I37" i="12"/>
  <c r="L39" i="12"/>
  <c r="L53" i="12"/>
  <c r="L55" i="12" s="1"/>
  <c r="L63" i="12"/>
  <c r="L65" i="12" s="1"/>
  <c r="L37" i="12"/>
  <c r="J33" i="12"/>
  <c r="J37" i="12" s="1"/>
  <c r="J65" i="12"/>
  <c r="J15" i="12"/>
  <c r="J19" i="12" s="1"/>
  <c r="L19" i="12"/>
  <c r="L45" i="12" l="1"/>
  <c r="J39" i="12"/>
  <c r="J45" i="12" s="1"/>
  <c r="J53" i="12"/>
  <c r="J55" i="12" s="1"/>
  <c r="K55" i="12"/>
  <c r="C4" i="10" l="1"/>
  <c r="D4" i="10"/>
  <c r="C3" i="10"/>
  <c r="F3" i="11" l="1"/>
  <c r="F4" i="11"/>
  <c r="F5" i="11"/>
  <c r="F6" i="11"/>
  <c r="F8" i="11"/>
  <c r="F10" i="11" s="1"/>
  <c r="F9" i="11"/>
  <c r="F12" i="11"/>
  <c r="F14" i="11"/>
  <c r="F15" i="11"/>
  <c r="F18" i="11"/>
  <c r="F19" i="11"/>
  <c r="F21" i="11"/>
  <c r="F22" i="11"/>
  <c r="F23" i="11"/>
  <c r="F73" i="10"/>
  <c r="F6" i="10" s="1"/>
  <c r="E73" i="10"/>
  <c r="D73" i="10"/>
  <c r="D6" i="10" s="1"/>
  <c r="C73" i="10"/>
  <c r="C6" i="10" s="1"/>
  <c r="F64" i="10"/>
  <c r="D64" i="10"/>
  <c r="C64" i="10"/>
  <c r="E52" i="10"/>
  <c r="E64" i="10" s="1"/>
  <c r="F40" i="10"/>
  <c r="E40" i="10"/>
  <c r="C40" i="10"/>
  <c r="D36" i="10"/>
  <c r="D40" i="10" s="1"/>
  <c r="E34" i="10"/>
  <c r="D34" i="10"/>
  <c r="C34" i="10"/>
  <c r="F19" i="10"/>
  <c r="F34" i="10" s="1"/>
  <c r="E6" i="10"/>
  <c r="F4" i="10"/>
  <c r="E4" i="10"/>
  <c r="F3" i="10"/>
  <c r="E3" i="10"/>
  <c r="D3" i="10"/>
  <c r="I72" i="9"/>
  <c r="G71" i="9"/>
  <c r="I71" i="9" s="1"/>
  <c r="D68" i="9"/>
  <c r="K67" i="9"/>
  <c r="I66" i="9"/>
  <c r="G66" i="9"/>
  <c r="M66" i="9" s="1"/>
  <c r="G65" i="9"/>
  <c r="I65" i="9" s="1"/>
  <c r="G64" i="9"/>
  <c r="I64" i="9" s="1"/>
  <c r="G63" i="9"/>
  <c r="I63" i="9" s="1"/>
  <c r="I62" i="9"/>
  <c r="G62" i="9"/>
  <c r="G61" i="9"/>
  <c r="I61" i="9" s="1"/>
  <c r="P60" i="9"/>
  <c r="I60" i="9"/>
  <c r="G60" i="9"/>
  <c r="G59" i="9"/>
  <c r="I59" i="9" s="1"/>
  <c r="G58" i="9"/>
  <c r="I58" i="9" s="1"/>
  <c r="G57" i="9"/>
  <c r="I57" i="9" s="1"/>
  <c r="I56" i="9"/>
  <c r="G56" i="9"/>
  <c r="G55" i="9"/>
  <c r="I55" i="9" s="1"/>
  <c r="G54" i="9"/>
  <c r="I54" i="9" s="1"/>
  <c r="G53" i="9"/>
  <c r="I53" i="9" s="1"/>
  <c r="P52" i="9"/>
  <c r="G52" i="9"/>
  <c r="I52" i="9" s="1"/>
  <c r="I51" i="9"/>
  <c r="G51" i="9"/>
  <c r="G50" i="9"/>
  <c r="I50" i="9" s="1"/>
  <c r="G49" i="9"/>
  <c r="I49" i="9" s="1"/>
  <c r="G48" i="9"/>
  <c r="I48" i="9" s="1"/>
  <c r="I47" i="9"/>
  <c r="G47" i="9"/>
  <c r="G46" i="9"/>
  <c r="I46" i="9" s="1"/>
  <c r="G45" i="9"/>
  <c r="I45" i="9" s="1"/>
  <c r="G44" i="9"/>
  <c r="I44" i="9" s="1"/>
  <c r="I43" i="9"/>
  <c r="G43" i="9"/>
  <c r="G42" i="9"/>
  <c r="I42" i="9" s="1"/>
  <c r="G41" i="9"/>
  <c r="I41" i="9" s="1"/>
  <c r="G40" i="9"/>
  <c r="I40" i="9" s="1"/>
  <c r="G39" i="9"/>
  <c r="K39" i="9" s="1"/>
  <c r="I38" i="9"/>
  <c r="G38" i="9"/>
  <c r="K38" i="9" s="1"/>
  <c r="K37" i="9"/>
  <c r="G37" i="9"/>
  <c r="I37" i="9" s="1"/>
  <c r="G36" i="9"/>
  <c r="K36" i="9" s="1"/>
  <c r="G35" i="9"/>
  <c r="K35" i="9" s="1"/>
  <c r="I34" i="9"/>
  <c r="G34" i="9"/>
  <c r="K34" i="9" s="1"/>
  <c r="K33" i="9"/>
  <c r="G33" i="9"/>
  <c r="I33" i="9" s="1"/>
  <c r="G32" i="9"/>
  <c r="I32" i="9" s="1"/>
  <c r="G31" i="9"/>
  <c r="K31" i="9" s="1"/>
  <c r="I30" i="9"/>
  <c r="G30" i="9"/>
  <c r="K30" i="9" s="1"/>
  <c r="K29" i="9"/>
  <c r="G29" i="9"/>
  <c r="I29" i="9" s="1"/>
  <c r="G28" i="9"/>
  <c r="K28" i="9" s="1"/>
  <c r="G27" i="9"/>
  <c r="K27" i="9" s="1"/>
  <c r="I26" i="9"/>
  <c r="G26" i="9"/>
  <c r="K26" i="9" s="1"/>
  <c r="K25" i="9"/>
  <c r="G25" i="9"/>
  <c r="I25" i="9" s="1"/>
  <c r="G24" i="9"/>
  <c r="I24" i="9" s="1"/>
  <c r="I23" i="9"/>
  <c r="G23" i="9"/>
  <c r="K23" i="9" s="1"/>
  <c r="G22" i="9"/>
  <c r="K22" i="9" s="1"/>
  <c r="G21" i="9"/>
  <c r="G20" i="9"/>
  <c r="K20" i="9" s="1"/>
  <c r="I19" i="9"/>
  <c r="G19" i="9"/>
  <c r="K19" i="9" s="1"/>
  <c r="G18" i="9"/>
  <c r="G17" i="9"/>
  <c r="K17" i="9" s="1"/>
  <c r="G16" i="9"/>
  <c r="I15" i="9"/>
  <c r="G15" i="9"/>
  <c r="K15" i="9" s="1"/>
  <c r="G14" i="9"/>
  <c r="C8" i="9"/>
  <c r="B8" i="9"/>
  <c r="D99" i="8"/>
  <c r="E98" i="8"/>
  <c r="E97" i="8"/>
  <c r="E94" i="8"/>
  <c r="E93" i="8"/>
  <c r="E92" i="8"/>
  <c r="E91" i="8"/>
  <c r="E90" i="8"/>
  <c r="E89" i="8"/>
  <c r="E88" i="8"/>
  <c r="E87" i="8"/>
  <c r="E85" i="8"/>
  <c r="E83" i="8"/>
  <c r="E82" i="8"/>
  <c r="E81" i="8"/>
  <c r="E80" i="8"/>
  <c r="E77" i="8"/>
  <c r="E76" i="8"/>
  <c r="E73" i="8"/>
  <c r="E72" i="8"/>
  <c r="E71" i="8"/>
  <c r="E69" i="8"/>
  <c r="E68" i="8"/>
  <c r="E67" i="8"/>
  <c r="E65" i="8"/>
  <c r="E64" i="8"/>
  <c r="E63" i="8"/>
  <c r="E62" i="8"/>
  <c r="E61" i="8"/>
  <c r="E60" i="8"/>
  <c r="E58" i="8"/>
  <c r="E55" i="8"/>
  <c r="E54" i="8"/>
  <c r="E53" i="8"/>
  <c r="E52" i="8"/>
  <c r="E50" i="8"/>
  <c r="E49" i="8"/>
  <c r="E48" i="8"/>
  <c r="E47" i="8"/>
  <c r="E46" i="8"/>
  <c r="E45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7" i="8"/>
  <c r="E26" i="8"/>
  <c r="E25" i="8"/>
  <c r="E24" i="8"/>
  <c r="E21" i="8"/>
  <c r="E19" i="8"/>
  <c r="E17" i="8"/>
  <c r="E16" i="8"/>
  <c r="E15" i="8"/>
  <c r="E14" i="8"/>
  <c r="E13" i="8"/>
  <c r="B8" i="8"/>
  <c r="B10" i="8" s="1"/>
  <c r="B5" i="8"/>
  <c r="F17" i="11" l="1"/>
  <c r="F7" i="11"/>
  <c r="F66" i="10"/>
  <c r="F5" i="10" s="1"/>
  <c r="C66" i="10"/>
  <c r="M68" i="9"/>
  <c r="D8" i="9"/>
  <c r="D10" i="9" s="1"/>
  <c r="I18" i="9"/>
  <c r="K18" i="9"/>
  <c r="I16" i="9"/>
  <c r="K16" i="9"/>
  <c r="I20" i="9"/>
  <c r="I22" i="9"/>
  <c r="P68" i="9"/>
  <c r="B7" i="9"/>
  <c r="I14" i="9"/>
  <c r="K14" i="9"/>
  <c r="F9" i="10"/>
  <c r="D66" i="10"/>
  <c r="D75" i="10" s="1"/>
  <c r="E99" i="8"/>
  <c r="C10" i="8" s="1"/>
  <c r="I17" i="9"/>
  <c r="I21" i="9"/>
  <c r="K21" i="9"/>
  <c r="E66" i="10"/>
  <c r="E75" i="10" s="1"/>
  <c r="F24" i="11"/>
  <c r="F20" i="11"/>
  <c r="F75" i="10"/>
  <c r="G68" i="9"/>
  <c r="E7" i="9"/>
  <c r="E10" i="9" s="1"/>
  <c r="I28" i="9"/>
  <c r="I36" i="9"/>
  <c r="K24" i="9"/>
  <c r="K68" i="9" s="1"/>
  <c r="I27" i="9"/>
  <c r="I31" i="9"/>
  <c r="K32" i="9"/>
  <c r="I35" i="9"/>
  <c r="I39" i="9"/>
  <c r="K40" i="9"/>
  <c r="B5" i="9"/>
  <c r="B6" i="9"/>
  <c r="I22" i="6"/>
  <c r="H22" i="6"/>
  <c r="A17" i="6"/>
  <c r="J71" i="6"/>
  <c r="I71" i="6"/>
  <c r="H71" i="6"/>
  <c r="J70" i="6"/>
  <c r="I70" i="6"/>
  <c r="H70" i="6"/>
  <c r="I69" i="6"/>
  <c r="H69" i="6"/>
  <c r="A63" i="6"/>
  <c r="H35" i="6"/>
  <c r="I35" i="6"/>
  <c r="J35" i="6"/>
  <c r="I36" i="6"/>
  <c r="J36" i="6"/>
  <c r="H37" i="6"/>
  <c r="I37" i="6"/>
  <c r="J37" i="6"/>
  <c r="H38" i="6"/>
  <c r="I38" i="6"/>
  <c r="J38" i="6"/>
  <c r="H39" i="6"/>
  <c r="I39" i="6"/>
  <c r="J39" i="6"/>
  <c r="H41" i="6"/>
  <c r="I41" i="6"/>
  <c r="J41" i="6"/>
  <c r="H42" i="6"/>
  <c r="I42" i="6"/>
  <c r="J42" i="6"/>
  <c r="H43" i="6"/>
  <c r="I43" i="6"/>
  <c r="J43" i="6"/>
  <c r="H44" i="6"/>
  <c r="I44" i="6"/>
  <c r="J44" i="6"/>
  <c r="H45" i="6"/>
  <c r="I45" i="6"/>
  <c r="J45" i="6"/>
  <c r="H46" i="6"/>
  <c r="I46" i="6"/>
  <c r="J46" i="6"/>
  <c r="H47" i="6"/>
  <c r="I47" i="6"/>
  <c r="J47" i="6"/>
  <c r="H48" i="6"/>
  <c r="I48" i="6"/>
  <c r="J48" i="6"/>
  <c r="H49" i="6"/>
  <c r="I49" i="6"/>
  <c r="J49" i="6"/>
  <c r="H50" i="6"/>
  <c r="I50" i="6"/>
  <c r="J50" i="6"/>
  <c r="H51" i="6"/>
  <c r="I51" i="6"/>
  <c r="J51" i="6"/>
  <c r="H52" i="6"/>
  <c r="I52" i="6"/>
  <c r="J52" i="6"/>
  <c r="H53" i="6"/>
  <c r="I53" i="6"/>
  <c r="J53" i="6"/>
  <c r="H54" i="6"/>
  <c r="I54" i="6"/>
  <c r="J54" i="6"/>
  <c r="H55" i="6"/>
  <c r="I55" i="6"/>
  <c r="J55" i="6"/>
  <c r="H56" i="6"/>
  <c r="I56" i="6"/>
  <c r="J56" i="6"/>
  <c r="H57" i="6"/>
  <c r="I57" i="6"/>
  <c r="J57" i="6"/>
  <c r="H58" i="6"/>
  <c r="H59" i="6"/>
  <c r="I59" i="6"/>
  <c r="J59" i="6"/>
  <c r="H60" i="6"/>
  <c r="I60" i="6"/>
  <c r="J60" i="6"/>
  <c r="H61" i="6"/>
  <c r="I61" i="6"/>
  <c r="J61" i="6"/>
  <c r="H62" i="6"/>
  <c r="I62" i="6"/>
  <c r="J62" i="6"/>
  <c r="H63" i="6"/>
  <c r="I63" i="6"/>
  <c r="J63" i="6"/>
  <c r="A58" i="6"/>
  <c r="I58" i="6" s="1"/>
  <c r="A40" i="6"/>
  <c r="I16" i="6"/>
  <c r="J16" i="6"/>
  <c r="I17" i="6"/>
  <c r="J17" i="6"/>
  <c r="I18" i="6"/>
  <c r="J18" i="6"/>
  <c r="I20" i="6"/>
  <c r="F20" i="6"/>
  <c r="J20" i="6" s="1"/>
  <c r="I19" i="6"/>
  <c r="J19" i="6"/>
  <c r="I21" i="6"/>
  <c r="J21" i="6"/>
  <c r="J22" i="6"/>
  <c r="I23" i="6"/>
  <c r="J23" i="6"/>
  <c r="I24" i="6"/>
  <c r="J24" i="6"/>
  <c r="A25" i="6"/>
  <c r="I25" i="6"/>
  <c r="J25" i="6"/>
  <c r="I26" i="6"/>
  <c r="J26" i="6"/>
  <c r="I27" i="6"/>
  <c r="J27" i="6"/>
  <c r="I28" i="6"/>
  <c r="J28" i="6"/>
  <c r="I29" i="6"/>
  <c r="J29" i="6"/>
  <c r="I31" i="6"/>
  <c r="J31" i="6"/>
  <c r="I30" i="6"/>
  <c r="J30" i="6"/>
  <c r="I33" i="6"/>
  <c r="J33" i="6"/>
  <c r="E34" i="6"/>
  <c r="I34" i="6" s="1"/>
  <c r="A34" i="6"/>
  <c r="H17" i="6"/>
  <c r="H18" i="6"/>
  <c r="H20" i="6"/>
  <c r="H19" i="6"/>
  <c r="H21" i="6"/>
  <c r="H23" i="6"/>
  <c r="H24" i="6"/>
  <c r="H25" i="6"/>
  <c r="H26" i="6"/>
  <c r="H27" i="6"/>
  <c r="H28" i="6"/>
  <c r="H29" i="6"/>
  <c r="H31" i="6"/>
  <c r="H30" i="6"/>
  <c r="H33" i="6"/>
  <c r="D34" i="6"/>
  <c r="H34" i="6" s="1"/>
  <c r="H16" i="6"/>
  <c r="F73" i="6"/>
  <c r="F65" i="6"/>
  <c r="F40" i="6"/>
  <c r="J40" i="6" s="1"/>
  <c r="E40" i="6"/>
  <c r="E52" i="6"/>
  <c r="E65" i="6" s="1"/>
  <c r="E73" i="6"/>
  <c r="D36" i="6"/>
  <c r="H36" i="6" s="1"/>
  <c r="D65" i="6"/>
  <c r="D73" i="6"/>
  <c r="F3" i="6"/>
  <c r="F4" i="6"/>
  <c r="F6" i="6"/>
  <c r="E3" i="6"/>
  <c r="E4" i="6"/>
  <c r="E6" i="6"/>
  <c r="D3" i="6"/>
  <c r="D6" i="6"/>
  <c r="D5" i="10" l="1"/>
  <c r="D9" i="10" s="1"/>
  <c r="E5" i="10"/>
  <c r="E9" i="10" s="1"/>
  <c r="C75" i="10"/>
  <c r="C5" i="10"/>
  <c r="C9" i="10" s="1"/>
  <c r="E67" i="6"/>
  <c r="I40" i="6"/>
  <c r="D40" i="6"/>
  <c r="F34" i="6"/>
  <c r="A65" i="6"/>
  <c r="I65" i="6" s="1"/>
  <c r="J58" i="6"/>
  <c r="I68" i="9"/>
  <c r="B10" i="9"/>
  <c r="C5" i="9"/>
  <c r="C10" i="9" s="1"/>
  <c r="J65" i="6" l="1"/>
  <c r="H65" i="6"/>
  <c r="J34" i="6"/>
  <c r="F67" i="6"/>
  <c r="D67" i="6"/>
  <c r="H40" i="6"/>
  <c r="E75" i="6"/>
  <c r="E5" i="6"/>
  <c r="E9" i="6" s="1"/>
  <c r="D75" i="6" l="1"/>
  <c r="D5" i="6"/>
  <c r="D9" i="6" s="1"/>
  <c r="F5" i="6"/>
  <c r="F9" i="6" s="1"/>
  <c r="F75" i="6"/>
</calcChain>
</file>

<file path=xl/sharedStrings.xml><?xml version="1.0" encoding="utf-8"?>
<sst xmlns="http://schemas.openxmlformats.org/spreadsheetml/2006/main" count="1382" uniqueCount="388">
  <si>
    <t>SSE Hydro Capacity</t>
  </si>
  <si>
    <t>Last updated</t>
  </si>
  <si>
    <t>31 March 2021</t>
  </si>
  <si>
    <t>MW</t>
  </si>
  <si>
    <t>ROC (MW)</t>
  </si>
  <si>
    <t>Capacity Mechanism (MW)</t>
  </si>
  <si>
    <t xml:space="preserve">Conventional Hydro </t>
  </si>
  <si>
    <t>Breakdown:</t>
  </si>
  <si>
    <t xml:space="preserve">Run of River </t>
  </si>
  <si>
    <t xml:space="preserve">Flexible Running </t>
  </si>
  <si>
    <t xml:space="preserve">Pumped Storage </t>
  </si>
  <si>
    <t>Total SSE Hydro Capacity</t>
  </si>
  <si>
    <t>950 MW which is de-rated under cap mech to c.873MW</t>
  </si>
  <si>
    <t>Hydro Station</t>
  </si>
  <si>
    <t>Location</t>
  </si>
  <si>
    <t>Cascade</t>
  </si>
  <si>
    <t>Installed MW</t>
  </si>
  <si>
    <t>ROC contract</t>
  </si>
  <si>
    <t>ROCS end date</t>
  </si>
  <si>
    <t>Qualifies to Compete for Capacity Mechanism Contract *</t>
  </si>
  <si>
    <t>Achanalt</t>
  </si>
  <si>
    <t>Scotland</t>
  </si>
  <si>
    <t>CONON SHIN AFFRIC BEAULY</t>
  </si>
  <si>
    <t>Aigas</t>
  </si>
  <si>
    <t>Beannachran</t>
  </si>
  <si>
    <t>Cassley</t>
  </si>
  <si>
    <t>Cuileig</t>
  </si>
  <si>
    <t>Culligran Comp Set</t>
  </si>
  <si>
    <t>Culligran Unit 2</t>
  </si>
  <si>
    <t>Deanie</t>
  </si>
  <si>
    <t>n/a</t>
  </si>
  <si>
    <t>Yes</t>
  </si>
  <si>
    <t>Duchally</t>
  </si>
  <si>
    <t>Fasnakyle Compset</t>
  </si>
  <si>
    <t>Fasnakyle Power Station</t>
  </si>
  <si>
    <t>Grudie Bridge</t>
  </si>
  <si>
    <t>Kilmorack</t>
  </si>
  <si>
    <t>Lairg</t>
  </si>
  <si>
    <t>Luichart Dam</t>
  </si>
  <si>
    <t>Luichart Power Station</t>
  </si>
  <si>
    <t>Meig Dam</t>
  </si>
  <si>
    <t>Misgeach</t>
  </si>
  <si>
    <t>Mossford</t>
  </si>
  <si>
    <t>Mullardoch</t>
  </si>
  <si>
    <t>Orrin</t>
  </si>
  <si>
    <t>Orrin Dam</t>
  </si>
  <si>
    <t>Shin</t>
  </si>
  <si>
    <t>Shin Diversion</t>
  </si>
  <si>
    <t>Torr Achilty</t>
  </si>
  <si>
    <t>Vaich</t>
  </si>
  <si>
    <t>Ceannacroc</t>
  </si>
  <si>
    <t>GREAT GLEN FOYERS</t>
  </si>
  <si>
    <t>Cluanie</t>
  </si>
  <si>
    <t>Dundreggan Dam</t>
  </si>
  <si>
    <t>Foyers Falls</t>
  </si>
  <si>
    <t>Glendoe</t>
  </si>
  <si>
    <t>Glenmoriston</t>
  </si>
  <si>
    <t>Invergarry</t>
  </si>
  <si>
    <t>Invergarry Dam</t>
  </si>
  <si>
    <t>Kingairloch</t>
  </si>
  <si>
    <t>Livishie</t>
  </si>
  <si>
    <t>Loyne</t>
  </si>
  <si>
    <t>Morar</t>
  </si>
  <si>
    <t>Mucomir (inc Compset)</t>
  </si>
  <si>
    <t>Quoich</t>
  </si>
  <si>
    <t>Quoich Dam</t>
  </si>
  <si>
    <t>Cashlie</t>
  </si>
  <si>
    <t>TUMMEL BREADALBANE</t>
  </si>
  <si>
    <t>Clunie Dam</t>
  </si>
  <si>
    <t>Clunie Power Station</t>
  </si>
  <si>
    <t>Cuaich</t>
  </si>
  <si>
    <t>Dalchonzie</t>
  </si>
  <si>
    <t>Errochty</t>
  </si>
  <si>
    <t>Finlarig</t>
  </si>
  <si>
    <t>Gaur</t>
  </si>
  <si>
    <t>Lednock</t>
  </si>
  <si>
    <t>Loch Ericht</t>
  </si>
  <si>
    <t>Lochay Compset</t>
  </si>
  <si>
    <t>Lochay FishPass</t>
  </si>
  <si>
    <t>Lochay Power Station</t>
  </si>
  <si>
    <t>Lubreoch</t>
  </si>
  <si>
    <t>Pitlochry</t>
  </si>
  <si>
    <t>Pitlochry Compset</t>
  </si>
  <si>
    <t>Rannoch</t>
  </si>
  <si>
    <t>St Fillans</t>
  </si>
  <si>
    <t>Stronuich</t>
  </si>
  <si>
    <t>Trinafour</t>
  </si>
  <si>
    <t>Tummel</t>
  </si>
  <si>
    <t>Truim compset</t>
  </si>
  <si>
    <t>Allt na Lairige</t>
  </si>
  <si>
    <t>SLOY AWE</t>
  </si>
  <si>
    <t>Awe Barrage</t>
  </si>
  <si>
    <t>Clachan</t>
  </si>
  <si>
    <t>Inverawe</t>
  </si>
  <si>
    <t>Kilmelford Compset</t>
  </si>
  <si>
    <t>Kilmelford</t>
  </si>
  <si>
    <t>Loch Gair</t>
  </si>
  <si>
    <t>Lussa</t>
  </si>
  <si>
    <t>Lussa Comp Set</t>
  </si>
  <si>
    <t>Nant</t>
  </si>
  <si>
    <t>Sloy</t>
  </si>
  <si>
    <t>Sron Mor</t>
  </si>
  <si>
    <t>Striven</t>
  </si>
  <si>
    <t>Tralaig</t>
  </si>
  <si>
    <t>Chliostair</t>
  </si>
  <si>
    <t>SMALL HYDRO</t>
  </si>
  <si>
    <t>Claddoch</t>
  </si>
  <si>
    <t>Gisla</t>
  </si>
  <si>
    <t>Kerry Falls</t>
  </si>
  <si>
    <t>Loch Dubh</t>
  </si>
  <si>
    <t>Nostie Bridge</t>
  </si>
  <si>
    <t>Nostie Comp Set</t>
  </si>
  <si>
    <t>Storr Lochs</t>
  </si>
  <si>
    <t>Tobermory</t>
  </si>
  <si>
    <t>Total Conventional Hydro</t>
  </si>
  <si>
    <t>Foyers</t>
  </si>
  <si>
    <t>Pump Storage</t>
  </si>
  <si>
    <t>Notes</t>
  </si>
  <si>
    <t>Prepared on best endeavours basis</t>
  </si>
  <si>
    <t>Registered capacity will be higher that GB capacity market capacity due to its de-rating factor applied each year</t>
  </si>
  <si>
    <t>SSE Operatonal Wind Capacity</t>
  </si>
  <si>
    <t>CfD (MW)</t>
  </si>
  <si>
    <t>RE-FIT (MW)</t>
  </si>
  <si>
    <t>Onshore (GB)</t>
  </si>
  <si>
    <t>Onshore (NI)</t>
  </si>
  <si>
    <t>Onshore (ROI)</t>
  </si>
  <si>
    <t>Offshore (GB) - receives double ROCs</t>
  </si>
  <si>
    <t>Total Wind Capacity in operation</t>
  </si>
  <si>
    <t>Offshore wind awarded AR3</t>
  </si>
  <si>
    <t>Wind farms</t>
  </si>
  <si>
    <t>Country</t>
  </si>
  <si>
    <t>Onshore/Offshore</t>
  </si>
  <si>
    <t>No. Turbines</t>
  </si>
  <si>
    <t>Stake</t>
  </si>
  <si>
    <t>SSE Stake (MW)</t>
  </si>
  <si>
    <t>JV partner</t>
  </si>
  <si>
    <t>Partner Stakes (MW)</t>
  </si>
  <si>
    <t>SSE Operated</t>
  </si>
  <si>
    <t>ROC contract (MW) - SSE share</t>
  </si>
  <si>
    <t>Cfd Price £/MWh</t>
  </si>
  <si>
    <t>CfD end date</t>
  </si>
  <si>
    <t>Re-Fit (MW)</t>
  </si>
  <si>
    <t>Re-Fit End Date</t>
  </si>
  <si>
    <t>Achany</t>
  </si>
  <si>
    <t>Onshore</t>
  </si>
  <si>
    <t>Artfield Fell</t>
  </si>
  <si>
    <t>Balmurrie Fell</t>
  </si>
  <si>
    <t>Bhlaraidh</t>
  </si>
  <si>
    <t>108MW Grid Connection; ROC at 0.9/MW</t>
  </si>
  <si>
    <t>Cathkin Braes</t>
  </si>
  <si>
    <t>Clyde (original)</t>
  </si>
  <si>
    <t>Greencoat 28.2%, GLIL 21.7%</t>
  </si>
  <si>
    <t>01.07.31 - 01.08.32</t>
  </si>
  <si>
    <t>Clyde Extension</t>
  </si>
  <si>
    <t>22.10.36 - 23.01.37</t>
  </si>
  <si>
    <t>ROC at 0.9/MW</t>
  </si>
  <si>
    <t>Drumderg</t>
  </si>
  <si>
    <t>Dunmaglass</t>
  </si>
  <si>
    <t>Greencoat 49.9%</t>
  </si>
  <si>
    <t>Fairburn</t>
  </si>
  <si>
    <t>Gordonbush</t>
  </si>
  <si>
    <t>Griffin</t>
  </si>
  <si>
    <t>Calliachar</t>
  </si>
  <si>
    <t>Hadyard Hill</t>
  </si>
  <si>
    <t>Spurness</t>
  </si>
  <si>
    <t>Strathy North</t>
  </si>
  <si>
    <t>Stronelairg</t>
  </si>
  <si>
    <t>Tangy</t>
  </si>
  <si>
    <t>Tangy Ext</t>
  </si>
  <si>
    <t>Toddleburn</t>
  </si>
  <si>
    <t>Keadby</t>
  </si>
  <si>
    <t>England and Wales</t>
  </si>
  <si>
    <t>Bessy Bell 2</t>
  </si>
  <si>
    <t>Northern Ireland</t>
  </si>
  <si>
    <t>Bessy Bell 1</t>
  </si>
  <si>
    <t>Glenconway</t>
  </si>
  <si>
    <t>Glenconway 2</t>
  </si>
  <si>
    <t>Slieve Kirk</t>
  </si>
  <si>
    <t>Tievenameenta</t>
  </si>
  <si>
    <t>Athea</t>
  </si>
  <si>
    <t>Republic of Ireland</t>
  </si>
  <si>
    <t>Bindoo</t>
  </si>
  <si>
    <t>Boggerah Wind farm</t>
  </si>
  <si>
    <t>Craydel ltd 47.5%; 5% other</t>
  </si>
  <si>
    <t>No</t>
  </si>
  <si>
    <t>Coomacheo</t>
  </si>
  <si>
    <t>Coomatalin</t>
  </si>
  <si>
    <t>Corneen</t>
  </si>
  <si>
    <t>Culliagh</t>
  </si>
  <si>
    <t>Curragh</t>
  </si>
  <si>
    <t>Dromada</t>
  </si>
  <si>
    <t>Dunneill</t>
  </si>
  <si>
    <t>Galway (CGT)</t>
  </si>
  <si>
    <t>Galway (Cloosh)</t>
  </si>
  <si>
    <t>Greencoat 75%</t>
  </si>
  <si>
    <t>Gartnaneane</t>
  </si>
  <si>
    <t>Kingsmountain</t>
  </si>
  <si>
    <t>Knockastanna</t>
  </si>
  <si>
    <t>Leanamore</t>
  </si>
  <si>
    <t>Meentycat</t>
  </si>
  <si>
    <t>Meentycat (Meenbog Ext)</t>
  </si>
  <si>
    <t>Meentycat (Cark Ext)</t>
  </si>
  <si>
    <t>Midas Windfarm</t>
  </si>
  <si>
    <t>Craydel ltd 51%</t>
  </si>
  <si>
    <t>Mullananalt</t>
  </si>
  <si>
    <t>Rathcahill</t>
  </si>
  <si>
    <t>Richfield</t>
  </si>
  <si>
    <t>Tournafulla 1</t>
  </si>
  <si>
    <t>Tournafulla 2</t>
  </si>
  <si>
    <t>Beatrice</t>
  </si>
  <si>
    <t>Offshore</t>
  </si>
  <si>
    <t>CIP 35%, Red Rock 25%</t>
  </si>
  <si>
    <t xml:space="preserve">£140/MWh </t>
  </si>
  <si>
    <t>Cfd in 2012 prices to be inflated by CPI</t>
  </si>
  <si>
    <t>Greater Gabbard</t>
  </si>
  <si>
    <t>England</t>
  </si>
  <si>
    <t xml:space="preserve">Offshore </t>
  </si>
  <si>
    <t>RWE 50%</t>
  </si>
  <si>
    <t>7 October 2031/ 28 August 2032</t>
  </si>
  <si>
    <t>Double ROC site</t>
  </si>
  <si>
    <t>Total</t>
  </si>
  <si>
    <t>Recent Disposals</t>
  </si>
  <si>
    <t>Walney</t>
  </si>
  <si>
    <t>Orstead 50.1%; OPW 24.8%</t>
  </si>
  <si>
    <t>2031/32 - Double ROC</t>
  </si>
  <si>
    <t>SSE share sold to Greencoat Sept 2020</t>
  </si>
  <si>
    <t>Slieve Divena 2</t>
  </si>
  <si>
    <t>Sold to Greecoate February 2020</t>
  </si>
  <si>
    <t xml:space="preserve">SSE Renewable Generation Output </t>
  </si>
  <si>
    <t>Full year to 31/03/2021</t>
  </si>
  <si>
    <t>Full year to 31/03/2020</t>
  </si>
  <si>
    <t>Full year to 31/03/2019</t>
  </si>
  <si>
    <t>Full Year to 31/03/2018</t>
  </si>
  <si>
    <t>Renewable Summary Totals</t>
  </si>
  <si>
    <t>GWh</t>
  </si>
  <si>
    <t>Conventional Hydro</t>
  </si>
  <si>
    <t>Foyers Gross Output</t>
  </si>
  <si>
    <t>Site refurbishment outage Novemeber 2019 - May 2020 (unit 2) and August 2020 (unit 1)</t>
  </si>
  <si>
    <t>GB onshore constrained off output NOT included above</t>
  </si>
  <si>
    <t>GB offshore constrained off output NOT included above</t>
  </si>
  <si>
    <t>TOTAL OUTPUT INCLUDING WIND CONSTRAINED</t>
  </si>
  <si>
    <t xml:space="preserve">HYDRO </t>
  </si>
  <si>
    <t xml:space="preserve">Conventional Hydro Output </t>
  </si>
  <si>
    <t>Foyers Gross Generation</t>
  </si>
  <si>
    <t>Site refurbishment outage November 2019 - May 2020 (unit 2) and August 2020 (unit 1)</t>
  </si>
  <si>
    <t xml:space="preserve">ONSHORE </t>
  </si>
  <si>
    <t>Artfield Fell &amp; Balmurrie Fell</t>
  </si>
  <si>
    <t>Clyde</t>
  </si>
  <si>
    <t>30% Stake in Clyde sold 18 March 2016, further 5% sold August 2017 and another 14.9% May 2018</t>
  </si>
  <si>
    <t xml:space="preserve">Cathkin Braes </t>
  </si>
  <si>
    <t>49.9% sold to Greencoat in March 2019</t>
  </si>
  <si>
    <t>Griffin &amp; Calliacher</t>
  </si>
  <si>
    <t xml:space="preserve">Keadby </t>
  </si>
  <si>
    <t xml:space="preserve">Tilbury </t>
  </si>
  <si>
    <t>Sold June 2017</t>
  </si>
  <si>
    <t>na</t>
  </si>
  <si>
    <t>Total UK mainland</t>
  </si>
  <si>
    <t xml:space="preserve">Bessy Bell </t>
  </si>
  <si>
    <t>Slieve Divena II</t>
  </si>
  <si>
    <t>Volumes to February 2020 date when sold to Greencoat</t>
  </si>
  <si>
    <t>Total Northern Ireland</t>
  </si>
  <si>
    <t xml:space="preserve">Athea </t>
  </si>
  <si>
    <t>Boggerah</t>
  </si>
  <si>
    <t xml:space="preserve">ROI JV operated by 3rd party </t>
  </si>
  <si>
    <t>Galway (CGT) - Uggool</t>
  </si>
  <si>
    <t>Galway (CGT) - Cloosh</t>
  </si>
  <si>
    <t>SSE owned 50% stake until March 2019 when stake reduced to 25% through disposal</t>
  </si>
  <si>
    <t>Knockstanna</t>
  </si>
  <si>
    <t>Midas</t>
  </si>
  <si>
    <t>Meenbog</t>
  </si>
  <si>
    <t>Tournafulla 1 &amp; 2</t>
  </si>
  <si>
    <t>Total Ireland</t>
  </si>
  <si>
    <t>SSE Total Onshore Wind</t>
  </si>
  <si>
    <t>OFFSHORE</t>
  </si>
  <si>
    <t>On line early 2019</t>
  </si>
  <si>
    <t>Sold September 2020</t>
  </si>
  <si>
    <t>Hunterston</t>
  </si>
  <si>
    <t>Test site decommissioned</t>
  </si>
  <si>
    <t>Total Offshore Wind</t>
  </si>
  <si>
    <t>Total Wind</t>
  </si>
  <si>
    <t>Electricity output based on SSE 100% share of wholly owned sites and % share of joint ventures</t>
  </si>
  <si>
    <t>Wind ouput is at each station is net of constrained off generation and all actual renewable output is recorded post transmission loss adjustment factor; ROCs generation is based on entire station output</t>
  </si>
  <si>
    <t>Biomass output at Slough is excluded and as now part of SSE Enterprise</t>
  </si>
  <si>
    <t>SSE Wind Development Pipeline</t>
  </si>
  <si>
    <t>Project</t>
  </si>
  <si>
    <t>Technology</t>
  </si>
  <si>
    <t>SSE Share (%)</t>
  </si>
  <si>
    <t>SSE Share (MW)</t>
  </si>
  <si>
    <t>Stage</t>
  </si>
  <si>
    <t>Partner</t>
  </si>
  <si>
    <t xml:space="preserve">Seagreen </t>
  </si>
  <si>
    <t>In construction</t>
  </si>
  <si>
    <t>Dogger Bank A</t>
  </si>
  <si>
    <t>Equinor &amp; Eni</t>
  </si>
  <si>
    <t>Dogger Bank B</t>
  </si>
  <si>
    <t>Dogger Bank C</t>
  </si>
  <si>
    <t>Working towards FID</t>
  </si>
  <si>
    <t>Equinor</t>
  </si>
  <si>
    <t>Arklow Bank</t>
  </si>
  <si>
    <t>Partially Consented</t>
  </si>
  <si>
    <t>Seagreen 1A</t>
  </si>
  <si>
    <t>Consented</t>
  </si>
  <si>
    <t>Berwick Bank and Marr Bank</t>
  </si>
  <si>
    <t>Up to 4,150</t>
  </si>
  <si>
    <t>Requiring consent</t>
  </si>
  <si>
    <t>Previously known as Seagreen 2&amp;3</t>
  </si>
  <si>
    <t>North Falls</t>
  </si>
  <si>
    <t>RWE</t>
  </si>
  <si>
    <t>Greater Gabbard Extension</t>
  </si>
  <si>
    <t>Up to  4,402</t>
  </si>
  <si>
    <t>Viking</t>
  </si>
  <si>
    <t>Gordonbush Ext</t>
  </si>
  <si>
    <t>Lenalea</t>
  </si>
  <si>
    <t>Colitte</t>
  </si>
  <si>
    <t>Award a RES contract in August</t>
  </si>
  <si>
    <t>Yellow River</t>
  </si>
  <si>
    <t>Repowering of exisitng SSE site</t>
  </si>
  <si>
    <t>Strathy South</t>
  </si>
  <si>
    <t>Cloiche</t>
  </si>
  <si>
    <t>Other</t>
  </si>
  <si>
    <t>Other GB</t>
  </si>
  <si>
    <t>Great Britain</t>
  </si>
  <si>
    <t>c250</t>
  </si>
  <si>
    <t>-</t>
  </si>
  <si>
    <t>Future Prospect</t>
  </si>
  <si>
    <t>Other NI</t>
  </si>
  <si>
    <t>c50</t>
  </si>
  <si>
    <t>Other ROI</t>
  </si>
  <si>
    <t>Braymore Point</t>
  </si>
  <si>
    <t>Celtic Sea Array</t>
  </si>
  <si>
    <t>Coire Glas</t>
  </si>
  <si>
    <t>Pumped storage</t>
  </si>
  <si>
    <t>up to 1,500</t>
  </si>
  <si>
    <t>c3650</t>
  </si>
  <si>
    <t>Wind pipeline projects and capacities continue to be revised as projects and technology develops</t>
  </si>
  <si>
    <t>Comments</t>
  </si>
  <si>
    <t>Capacity</t>
  </si>
  <si>
    <t>Load factor</t>
  </si>
  <si>
    <t>Artfield Fell &amp; Balamurrie</t>
  </si>
  <si>
    <t>sold down</t>
  </si>
  <si>
    <t>?</t>
  </si>
  <si>
    <t>Sold June 17</t>
  </si>
  <si>
    <t>Volumes to Feb 2020 date when sold to Greencoat</t>
  </si>
  <si>
    <t>sell down</t>
  </si>
  <si>
    <t>??</t>
  </si>
  <si>
    <t xml:space="preserve">Tournafulla </t>
  </si>
  <si>
    <t>Sold Sept 2020</t>
  </si>
  <si>
    <t>test site decommissioned</t>
  </si>
  <si>
    <t xml:space="preserve">Actual generated output accounts is post loss adjusted factor reflected of generation paid; ROCS payments based on entire output </t>
  </si>
  <si>
    <t>Load factor estimates [caveatxxxx]</t>
  </si>
  <si>
    <t>SSE Capacity Payment Schedule</t>
  </si>
  <si>
    <t>Last Updated</t>
  </si>
  <si>
    <t>Oct to Sep</t>
  </si>
  <si>
    <t>Renewables</t>
  </si>
  <si>
    <t>Thermal</t>
  </si>
  <si>
    <t>Apr - Mar</t>
  </si>
  <si>
    <t>Contract Year</t>
  </si>
  <si>
    <t>SSE Financial year</t>
  </si>
  <si>
    <t>2017/18</t>
  </si>
  <si>
    <t>T-1</t>
  </si>
  <si>
    <t>Contract price £/Kw</t>
  </si>
  <si>
    <t>Capacity (MW)</t>
  </si>
  <si>
    <t>Value (£million)</t>
  </si>
  <si>
    <t>2018/19</t>
  </si>
  <si>
    <t>T-4</t>
  </si>
  <si>
    <t>p</t>
  </si>
  <si>
    <t>a</t>
  </si>
  <si>
    <t>Value (£m)</t>
  </si>
  <si>
    <t>2019/20</t>
  </si>
  <si>
    <t>2020/21</t>
  </si>
  <si>
    <t>2021/22</t>
  </si>
  <si>
    <t>e</t>
  </si>
  <si>
    <t>2022/23</t>
  </si>
  <si>
    <t>2023/24</t>
  </si>
  <si>
    <t>15 Year 23/24</t>
  </si>
  <si>
    <t>2024/25</t>
  </si>
  <si>
    <t>15 Year 24/25</t>
  </si>
  <si>
    <t>2025/26</t>
  </si>
  <si>
    <t>Capacities are in line with de-rating factors issued by the delivery body for each contract year, therefore will not directly match SSE's published station capacities</t>
  </si>
  <si>
    <t>Contract years are October - September</t>
  </si>
  <si>
    <t>SSE Financial years are April - March</t>
  </si>
  <si>
    <t>Contract payments are weighted depending on demand weighting and are calculated by EMRS on behalf of the ESC.    Currently assumes 55% weighting Oct - March; 45% weighting Apr - Sept.</t>
  </si>
  <si>
    <t xml:space="preserve">Includes SSE share of JV capacity contract income (thermal, renewable and multifuel) , along with Peterhead's contract year 19/20 secured on the secondary market.  </t>
  </si>
  <si>
    <t>c965MW of conventional and pumped storage hydro capacity and c38MW of Wind particpates and have been awarded capacity mechanism contracts (pre- derating adjustment factor)</t>
  </si>
  <si>
    <t>p (published at time of auction); a (actual based on CPI); e (estimate based on forecast CPI)</t>
  </si>
  <si>
    <t>More info publishes website link  - https://www.emrdeliverybody.com/sitepages/home.aspx.</t>
  </si>
  <si>
    <t>Due to the temporary suspsension of GB capacity market payments relating to contract yar 2018/19; Sept 2018 to March 2019 payments were received by SSE in its financial year 2019/20.</t>
  </si>
  <si>
    <t>Consented but expected to require revenue stabilisation mechanism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</si>
</sst>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[$-F800]dddd\,\ mmmm\ dd\,\ yyyy"/>
    <numFmt numFmtId="168" formatCode="_(* #,##0.00_);_(* \(#,##0.00\);_(* &quot;-&quot;??_);_(@_)"/>
    <numFmt numFmtId="169" formatCode="_-&quot;£&quot;* #,##0_-;\-&quot;£&quot;* #,##0_-;_-&quot;£&quot;* &quot;-&quot;??_-;_-@_-"/>
    <numFmt numFmtId="170" formatCode="_-&quot;£&quot;* #,##0.0_-;\-&quot;£&quot;* #,##0.0_-;_-&quot;£&quot;* &quot;-&quot;??_-;_-@_-"/>
    <numFmt numFmtId="171" formatCode="_-* #,##0_-;\-* #,##0_-;_-* &quot;-&quot;??_-;_-@_-"/>
    <numFmt numFmtId="172" formatCode="#,##0.0;\(#,##0.0\);\-"/>
    <numFmt numFmtId="173" formatCode="0.0%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name val="CG Times (W1)"/>
    </font>
    <font>
      <b/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trike/>
      <sz val="9"/>
      <name val="Calibri"/>
      <family val="2"/>
      <scheme val="minor"/>
    </font>
    <font>
      <strike/>
      <sz val="9"/>
      <color theme="5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Calibri"/>
      <family val="2"/>
      <scheme val="minor"/>
    </font>
    <font>
      <b/>
      <u/>
      <sz val="1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i/>
      <sz val="9"/>
      <color theme="1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13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13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9" fontId="5" fillId="0" borderId="0" applyFont="0" applyFill="0" applyBorder="0" applyAlignment="0" applyProtection="0"/>
    <xf numFmtId="0" fontId="10" fillId="0" borderId="0"/>
    <xf numFmtId="168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5" fillId="0" borderId="0" applyFont="0" applyFill="0" applyBorder="0" applyAlignment="0" applyProtection="0"/>
  </cellStyleXfs>
  <cellXfs count="433">
    <xf numFmtId="0" fontId="0" fillId="0" borderId="0" xfId="0"/>
    <xf numFmtId="0" fontId="4" fillId="2" borderId="1" xfId="3" applyFont="1" applyFill="1" applyBorder="1"/>
    <xf numFmtId="0" fontId="4" fillId="2" borderId="1" xfId="3" quotePrefix="1" applyFont="1" applyFill="1" applyBorder="1" applyAlignment="1">
      <alignment horizontal="left"/>
    </xf>
    <xf numFmtId="0" fontId="4" fillId="2" borderId="1" xfId="3" applyFont="1" applyFill="1" applyBorder="1" applyAlignment="1">
      <alignment vertical="top"/>
    </xf>
    <xf numFmtId="2" fontId="5" fillId="2" borderId="1" xfId="3" applyNumberFormat="1" applyFont="1" applyFill="1" applyBorder="1" applyAlignment="1">
      <alignment horizontal="center" vertical="top"/>
    </xf>
    <xf numFmtId="3" fontId="5" fillId="2" borderId="1" xfId="3" applyNumberFormat="1" applyFont="1" applyFill="1" applyBorder="1" applyAlignment="1">
      <alignment horizontal="center" vertical="top"/>
    </xf>
    <xf numFmtId="0" fontId="4" fillId="2" borderId="1" xfId="3" quotePrefix="1" applyFont="1" applyFill="1" applyBorder="1" applyAlignment="1">
      <alignment horizontal="left" vertical="top"/>
    </xf>
    <xf numFmtId="1" fontId="4" fillId="2" borderId="1" xfId="3" applyNumberFormat="1" applyFont="1" applyFill="1" applyBorder="1" applyAlignment="1">
      <alignment vertical="top"/>
    </xf>
    <xf numFmtId="0" fontId="12" fillId="0" borderId="0" xfId="6" applyFont="1" applyProtection="1">
      <protection locked="0"/>
    </xf>
    <xf numFmtId="1" fontId="13" fillId="5" borderId="10" xfId="4" applyNumberFormat="1" applyFont="1" applyFill="1" applyBorder="1" applyAlignment="1" applyProtection="1">
      <alignment horizontal="left" vertical="center"/>
      <protection locked="0"/>
    </xf>
    <xf numFmtId="164" fontId="12" fillId="0" borderId="0" xfId="7" applyNumberFormat="1" applyFont="1" applyAlignment="1" applyProtection="1">
      <alignment horizontal="right"/>
      <protection locked="0"/>
    </xf>
    <xf numFmtId="1" fontId="13" fillId="0" borderId="15" xfId="6" applyNumberFormat="1" applyFont="1" applyBorder="1" applyAlignment="1" applyProtection="1">
      <alignment horizontal="center" vertical="center"/>
      <protection locked="0"/>
    </xf>
    <xf numFmtId="0" fontId="13" fillId="8" borderId="10" xfId="4" applyFont="1" applyFill="1" applyBorder="1" applyProtection="1">
      <protection locked="0"/>
    </xf>
    <xf numFmtId="0" fontId="13" fillId="8" borderId="11" xfId="4" applyFont="1" applyFill="1" applyBorder="1" applyProtection="1">
      <protection locked="0"/>
    </xf>
    <xf numFmtId="0" fontId="12" fillId="8" borderId="0" xfId="6" applyFont="1" applyFill="1" applyProtection="1">
      <protection locked="0"/>
    </xf>
    <xf numFmtId="1" fontId="13" fillId="9" borderId="0" xfId="6" applyNumberFormat="1" applyFont="1" applyFill="1" applyAlignment="1">
      <alignment horizontal="left" vertical="center"/>
    </xf>
    <xf numFmtId="1" fontId="13" fillId="9" borderId="17" xfId="6" applyNumberFormat="1" applyFont="1" applyFill="1" applyBorder="1" applyAlignment="1">
      <alignment horizontal="center" vertical="center"/>
    </xf>
    <xf numFmtId="0" fontId="13" fillId="0" borderId="0" xfId="6" applyFont="1" applyProtection="1">
      <protection locked="0"/>
    </xf>
    <xf numFmtId="1" fontId="14" fillId="9" borderId="18" xfId="6" applyNumberFormat="1" applyFont="1" applyFill="1" applyBorder="1" applyAlignment="1">
      <alignment horizontal="center" vertical="center"/>
    </xf>
    <xf numFmtId="1" fontId="13" fillId="9" borderId="19" xfId="6" applyNumberFormat="1" applyFont="1" applyFill="1" applyBorder="1" applyAlignment="1">
      <alignment horizontal="center" vertical="center"/>
    </xf>
    <xf numFmtId="0" fontId="13" fillId="0" borderId="0" xfId="4" applyFont="1" applyProtection="1">
      <protection locked="0"/>
    </xf>
    <xf numFmtId="0" fontId="13" fillId="9" borderId="0" xfId="4" applyFont="1" applyFill="1"/>
    <xf numFmtId="0" fontId="13" fillId="10" borderId="0" xfId="6" applyFont="1" applyFill="1" applyProtection="1">
      <protection locked="0"/>
    </xf>
    <xf numFmtId="0" fontId="13" fillId="11" borderId="8" xfId="4" applyFont="1" applyFill="1" applyBorder="1" applyProtection="1">
      <protection locked="0"/>
    </xf>
    <xf numFmtId="0" fontId="13" fillId="11" borderId="5" xfId="4" applyFont="1" applyFill="1" applyBorder="1" applyProtection="1">
      <protection locked="0"/>
    </xf>
    <xf numFmtId="0" fontId="13" fillId="12" borderId="10" xfId="4" applyFont="1" applyFill="1" applyBorder="1" applyProtection="1">
      <protection locked="0"/>
    </xf>
    <xf numFmtId="0" fontId="13" fillId="12" borderId="11" xfId="4" applyFont="1" applyFill="1" applyBorder="1" applyProtection="1">
      <protection locked="0"/>
    </xf>
    <xf numFmtId="0" fontId="12" fillId="12" borderId="0" xfId="6" applyFont="1" applyFill="1" applyProtection="1">
      <protection locked="0"/>
    </xf>
    <xf numFmtId="1" fontId="13" fillId="0" borderId="0" xfId="6" applyNumberFormat="1" applyFont="1" applyAlignment="1" applyProtection="1">
      <alignment horizontal="center" vertical="center"/>
      <protection locked="0"/>
    </xf>
    <xf numFmtId="0" fontId="12" fillId="0" borderId="13" xfId="4" applyFont="1" applyBorder="1" applyAlignment="1" applyProtection="1">
      <alignment vertical="center" wrapText="1"/>
      <protection locked="0"/>
    </xf>
    <xf numFmtId="0" fontId="12" fillId="0" borderId="14" xfId="4" applyFont="1" applyBorder="1" applyProtection="1">
      <protection locked="0"/>
    </xf>
    <xf numFmtId="0" fontId="12" fillId="0" borderId="13" xfId="4" applyFont="1" applyBorder="1" applyAlignment="1" applyProtection="1">
      <alignment vertical="center"/>
      <protection locked="0"/>
    </xf>
    <xf numFmtId="1" fontId="13" fillId="0" borderId="10" xfId="6" applyNumberFormat="1" applyFont="1" applyBorder="1" applyAlignment="1" applyProtection="1">
      <alignment horizontal="center" vertical="center"/>
      <protection locked="0"/>
    </xf>
    <xf numFmtId="164" fontId="13" fillId="0" borderId="11" xfId="7" quotePrefix="1" applyNumberFormat="1" applyFont="1" applyBorder="1" applyAlignment="1" applyProtection="1">
      <alignment horizontal="right" vertical="center" wrapText="1"/>
      <protection locked="0"/>
    </xf>
    <xf numFmtId="0" fontId="13" fillId="6" borderId="10" xfId="4" applyFont="1" applyFill="1" applyBorder="1" applyProtection="1">
      <protection locked="0"/>
    </xf>
    <xf numFmtId="0" fontId="13" fillId="6" borderId="11" xfId="4" applyFont="1" applyFill="1" applyBorder="1" applyProtection="1">
      <protection locked="0"/>
    </xf>
    <xf numFmtId="0" fontId="12" fillId="0" borderId="13" xfId="4" applyFont="1" applyBorder="1" applyProtection="1">
      <protection locked="0"/>
    </xf>
    <xf numFmtId="0" fontId="13" fillId="11" borderId="8" xfId="4" applyFont="1" applyFill="1" applyBorder="1" applyAlignment="1" applyProtection="1">
      <alignment vertical="center"/>
      <protection locked="0"/>
    </xf>
    <xf numFmtId="0" fontId="13" fillId="11" borderId="21" xfId="4" applyFont="1" applyFill="1" applyBorder="1" applyProtection="1">
      <protection locked="0"/>
    </xf>
    <xf numFmtId="0" fontId="12" fillId="0" borderId="14" xfId="4" applyFont="1" applyBorder="1" applyAlignment="1" applyProtection="1">
      <alignment wrapText="1"/>
      <protection locked="0"/>
    </xf>
    <xf numFmtId="0" fontId="15" fillId="0" borderId="0" xfId="6" applyFont="1" applyProtection="1">
      <protection locked="0"/>
    </xf>
    <xf numFmtId="0" fontId="14" fillId="11" borderId="21" xfId="4" applyFont="1" applyFill="1" applyBorder="1" applyAlignment="1" applyProtection="1">
      <alignment wrapText="1"/>
      <protection locked="0"/>
    </xf>
    <xf numFmtId="0" fontId="16" fillId="0" borderId="0" xfId="6" applyFont="1" applyProtection="1">
      <protection locked="0"/>
    </xf>
    <xf numFmtId="0" fontId="16" fillId="0" borderId="13" xfId="4" applyFont="1" applyBorder="1" applyAlignment="1" applyProtection="1">
      <alignment vertical="center"/>
      <protection locked="0"/>
    </xf>
    <xf numFmtId="0" fontId="17" fillId="0" borderId="14" xfId="4" applyFont="1" applyBorder="1" applyAlignment="1" applyProtection="1">
      <alignment wrapText="1"/>
      <protection locked="0"/>
    </xf>
    <xf numFmtId="0" fontId="12" fillId="6" borderId="11" xfId="6" applyFont="1" applyFill="1" applyBorder="1" applyProtection="1">
      <protection locked="0"/>
    </xf>
    <xf numFmtId="0" fontId="12" fillId="0" borderId="0" xfId="4" applyFont="1" applyProtection="1">
      <protection locked="0"/>
    </xf>
    <xf numFmtId="0" fontId="13" fillId="11" borderId="10" xfId="4" applyFont="1" applyFill="1" applyBorder="1" applyProtection="1">
      <protection locked="0"/>
    </xf>
    <xf numFmtId="0" fontId="13" fillId="11" borderId="12" xfId="4" applyFont="1" applyFill="1" applyBorder="1" applyProtection="1">
      <protection locked="0"/>
    </xf>
    <xf numFmtId="166" fontId="12" fillId="0" borderId="0" xfId="6" applyNumberFormat="1" applyFont="1" applyProtection="1">
      <protection locked="0"/>
    </xf>
    <xf numFmtId="166" fontId="15" fillId="0" borderId="0" xfId="6" applyNumberFormat="1" applyFont="1" applyProtection="1">
      <protection locked="0"/>
    </xf>
    <xf numFmtId="166" fontId="16" fillId="0" borderId="0" xfId="6" applyNumberFormat="1" applyFont="1" applyProtection="1">
      <protection locked="0"/>
    </xf>
    <xf numFmtId="164" fontId="12" fillId="0" borderId="0" xfId="7" applyNumberFormat="1" applyFont="1" applyFill="1" applyAlignment="1" applyProtection="1">
      <alignment horizontal="right"/>
      <protection locked="0"/>
    </xf>
    <xf numFmtId="165" fontId="13" fillId="9" borderId="17" xfId="7" quotePrefix="1" applyNumberFormat="1" applyFont="1" applyFill="1" applyBorder="1" applyAlignment="1" applyProtection="1">
      <alignment horizontal="right" vertical="center" wrapText="1"/>
    </xf>
    <xf numFmtId="165" fontId="13" fillId="9" borderId="2" xfId="7" applyNumberFormat="1" applyFont="1" applyFill="1" applyBorder="1" applyAlignment="1" applyProtection="1">
      <alignment horizontal="right" wrapText="1"/>
    </xf>
    <xf numFmtId="165" fontId="13" fillId="9" borderId="18" xfId="7" quotePrefix="1" applyNumberFormat="1" applyFont="1" applyFill="1" applyBorder="1" applyAlignment="1" applyProtection="1">
      <alignment horizontal="right" vertical="center" wrapText="1"/>
    </xf>
    <xf numFmtId="165" fontId="13" fillId="9" borderId="19" xfId="7" quotePrefix="1" applyNumberFormat="1" applyFont="1" applyFill="1" applyBorder="1" applyAlignment="1" applyProtection="1">
      <alignment horizontal="right" vertical="center" wrapText="1"/>
    </xf>
    <xf numFmtId="165" fontId="12" fillId="0" borderId="16" xfId="7" applyNumberFormat="1" applyFont="1" applyFill="1" applyBorder="1" applyAlignment="1" applyProtection="1">
      <alignment horizontal="right" wrapText="1"/>
      <protection locked="0"/>
    </xf>
    <xf numFmtId="165" fontId="12" fillId="0" borderId="22" xfId="7" applyNumberFormat="1" applyFont="1" applyFill="1" applyBorder="1" applyAlignment="1" applyProtection="1">
      <alignment horizontal="right" wrapText="1"/>
      <protection locked="0"/>
    </xf>
    <xf numFmtId="165" fontId="12" fillId="12" borderId="11" xfId="7" applyNumberFormat="1" applyFont="1" applyFill="1" applyBorder="1" applyAlignment="1" applyProtection="1">
      <alignment horizontal="right" wrapText="1"/>
      <protection locked="0"/>
    </xf>
    <xf numFmtId="165" fontId="13" fillId="0" borderId="16" xfId="7" quotePrefix="1" applyNumberFormat="1" applyFont="1" applyBorder="1" applyAlignment="1" applyProtection="1">
      <alignment horizontal="right" vertical="center" wrapText="1"/>
      <protection locked="0"/>
    </xf>
    <xf numFmtId="165" fontId="12" fillId="8" borderId="11" xfId="7" applyNumberFormat="1" applyFont="1" applyFill="1" applyBorder="1" applyAlignment="1" applyProtection="1">
      <alignment horizontal="right" wrapText="1"/>
      <protection locked="0"/>
    </xf>
    <xf numFmtId="165" fontId="13" fillId="0" borderId="0" xfId="7" quotePrefix="1" applyNumberFormat="1" applyFont="1" applyBorder="1" applyAlignment="1" applyProtection="1">
      <alignment horizontal="right" vertical="center" wrapText="1"/>
      <protection locked="0"/>
    </xf>
    <xf numFmtId="165" fontId="12" fillId="0" borderId="23" xfId="7" applyNumberFormat="1" applyFont="1" applyFill="1" applyBorder="1" applyAlignment="1" applyProtection="1">
      <alignment horizontal="right" vertical="center" wrapText="1"/>
      <protection locked="0"/>
    </xf>
    <xf numFmtId="165" fontId="12" fillId="0" borderId="13" xfId="7" applyNumberFormat="1" applyFont="1" applyBorder="1" applyAlignment="1" applyProtection="1">
      <alignment horizontal="right" wrapText="1"/>
      <protection locked="0"/>
    </xf>
    <xf numFmtId="165" fontId="12" fillId="0" borderId="23" xfId="7" applyNumberFormat="1" applyFont="1" applyBorder="1" applyAlignment="1" applyProtection="1">
      <alignment horizontal="right" vertical="center"/>
      <protection locked="0"/>
    </xf>
    <xf numFmtId="165" fontId="13" fillId="0" borderId="11" xfId="7" quotePrefix="1" applyNumberFormat="1" applyFont="1" applyBorder="1" applyAlignment="1" applyProtection="1">
      <alignment horizontal="right" vertical="center" wrapText="1"/>
      <protection locked="0"/>
    </xf>
    <xf numFmtId="165" fontId="12" fillId="6" borderId="11" xfId="7" applyNumberFormat="1" applyFont="1" applyFill="1" applyBorder="1" applyAlignment="1" applyProtection="1">
      <alignment horizontal="right" wrapText="1"/>
      <protection locked="0"/>
    </xf>
    <xf numFmtId="165" fontId="12" fillId="0" borderId="24" xfId="7" applyNumberFormat="1" applyFont="1" applyBorder="1" applyAlignment="1" applyProtection="1">
      <alignment horizontal="right" vertical="center"/>
      <protection locked="0"/>
    </xf>
    <xf numFmtId="165" fontId="13" fillId="11" borderId="20" xfId="7" applyNumberFormat="1" applyFont="1" applyFill="1" applyBorder="1" applyAlignment="1" applyProtection="1">
      <alignment horizontal="right" vertical="center"/>
      <protection locked="0"/>
    </xf>
    <xf numFmtId="165" fontId="12" fillId="6" borderId="11" xfId="7" applyNumberFormat="1" applyFont="1" applyFill="1" applyBorder="1" applyAlignment="1" applyProtection="1">
      <alignment horizontal="right" vertical="center"/>
      <protection locked="0"/>
    </xf>
    <xf numFmtId="165" fontId="12" fillId="0" borderId="25" xfId="7" applyNumberFormat="1" applyFont="1" applyBorder="1" applyAlignment="1" applyProtection="1">
      <alignment horizontal="right" vertical="center"/>
      <protection locked="0"/>
    </xf>
    <xf numFmtId="165" fontId="13" fillId="11" borderId="11" xfId="7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/>
    <xf numFmtId="165" fontId="12" fillId="0" borderId="0" xfId="7" applyNumberFormat="1" applyFont="1" applyAlignment="1" applyProtection="1">
      <alignment horizontal="right"/>
      <protection locked="0"/>
    </xf>
    <xf numFmtId="9" fontId="12" fillId="0" borderId="0" xfId="2" applyFont="1" applyFill="1" applyProtection="1">
      <protection locked="0"/>
    </xf>
    <xf numFmtId="9" fontId="12" fillId="0" borderId="0" xfId="2" applyFont="1" applyFill="1" applyBorder="1" applyProtection="1">
      <protection locked="0"/>
    </xf>
    <xf numFmtId="9" fontId="13" fillId="0" borderId="0" xfId="2" applyFont="1" applyFill="1" applyProtection="1">
      <protection locked="0"/>
    </xf>
    <xf numFmtId="9" fontId="13" fillId="0" borderId="0" xfId="2" applyFont="1" applyFill="1" applyBorder="1" applyProtection="1">
      <protection locked="0"/>
    </xf>
    <xf numFmtId="9" fontId="15" fillId="0" borderId="0" xfId="2" applyFont="1" applyFill="1" applyProtection="1">
      <protection locked="0"/>
    </xf>
    <xf numFmtId="9" fontId="0" fillId="0" borderId="0" xfId="2" applyFont="1" applyFill="1"/>
    <xf numFmtId="1" fontId="12" fillId="0" borderId="0" xfId="6" applyNumberFormat="1" applyFont="1" applyAlignment="1" applyProtection="1">
      <alignment horizontal="right"/>
      <protection locked="0"/>
    </xf>
    <xf numFmtId="1" fontId="5" fillId="2" borderId="1" xfId="1" applyNumberFormat="1" applyFont="1" applyFill="1" applyBorder="1" applyAlignment="1">
      <alignment horizontal="right" vertical="top"/>
    </xf>
    <xf numFmtId="1" fontId="13" fillId="0" borderId="0" xfId="6" applyNumberFormat="1" applyFont="1" applyAlignment="1" applyProtection="1">
      <alignment horizontal="right"/>
      <protection locked="0"/>
    </xf>
    <xf numFmtId="0" fontId="14" fillId="0" borderId="0" xfId="6" applyFont="1" applyProtection="1">
      <protection locked="0"/>
    </xf>
    <xf numFmtId="0" fontId="13" fillId="7" borderId="0" xfId="6" applyFont="1" applyFill="1" applyProtection="1">
      <protection locked="0"/>
    </xf>
    <xf numFmtId="0" fontId="12" fillId="7" borderId="0" xfId="6" applyFont="1" applyFill="1" applyProtection="1">
      <protection locked="0"/>
    </xf>
    <xf numFmtId="0" fontId="23" fillId="2" borderId="0" xfId="3" applyFont="1" applyFill="1"/>
    <xf numFmtId="0" fontId="4" fillId="0" borderId="1" xfId="3" applyFont="1" applyBorder="1" applyAlignment="1">
      <alignment vertical="top"/>
    </xf>
    <xf numFmtId="2" fontId="5" fillId="2" borderId="1" xfId="3" applyNumberFormat="1" applyFont="1" applyFill="1" applyBorder="1" applyAlignment="1">
      <alignment horizontal="right"/>
    </xf>
    <xf numFmtId="3" fontId="5" fillId="2" borderId="1" xfId="3" applyNumberFormat="1" applyFont="1" applyFill="1" applyBorder="1" applyAlignment="1">
      <alignment horizontal="right"/>
    </xf>
    <xf numFmtId="2" fontId="5" fillId="2" borderId="1" xfId="3" applyNumberFormat="1" applyFont="1" applyFill="1" applyBorder="1" applyAlignment="1">
      <alignment horizontal="right" vertical="top"/>
    </xf>
    <xf numFmtId="3" fontId="5" fillId="2" borderId="1" xfId="3" applyNumberFormat="1" applyFont="1" applyFill="1" applyBorder="1" applyAlignment="1">
      <alignment horizontal="right" vertical="top"/>
    </xf>
    <xf numFmtId="2" fontId="5" fillId="0" borderId="1" xfId="3" applyNumberFormat="1" applyFont="1" applyBorder="1" applyAlignment="1">
      <alignment horizontal="right" vertical="top"/>
    </xf>
    <xf numFmtId="3" fontId="5" fillId="0" borderId="1" xfId="3" applyNumberFormat="1" applyFont="1" applyBorder="1" applyAlignment="1">
      <alignment horizontal="right" vertical="top"/>
    </xf>
    <xf numFmtId="1" fontId="4" fillId="2" borderId="2" xfId="3" applyNumberFormat="1" applyFont="1" applyFill="1" applyBorder="1" applyAlignment="1">
      <alignment vertical="top"/>
    </xf>
    <xf numFmtId="1" fontId="5" fillId="2" borderId="2" xfId="3" applyNumberFormat="1" applyFont="1" applyFill="1" applyBorder="1" applyAlignment="1">
      <alignment horizontal="right" vertical="top"/>
    </xf>
    <xf numFmtId="166" fontId="5" fillId="2" borderId="2" xfId="3" applyNumberFormat="1" applyFont="1" applyFill="1" applyBorder="1" applyAlignment="1">
      <alignment horizontal="right" vertical="top"/>
    </xf>
    <xf numFmtId="167" fontId="5" fillId="2" borderId="1" xfId="3" applyNumberFormat="1" applyFont="1" applyFill="1" applyBorder="1" applyAlignment="1">
      <alignment horizontal="right"/>
    </xf>
    <xf numFmtId="166" fontId="5" fillId="2" borderId="2" xfId="3" applyNumberFormat="1" applyFont="1" applyFill="1" applyBorder="1" applyAlignment="1">
      <alignment horizontal="right" vertical="top" wrapText="1"/>
    </xf>
    <xf numFmtId="1" fontId="5" fillId="2" borderId="1" xfId="3" applyNumberFormat="1" applyFont="1" applyFill="1" applyBorder="1" applyAlignment="1">
      <alignment horizontal="right" vertical="top"/>
    </xf>
    <xf numFmtId="166" fontId="5" fillId="2" borderId="1" xfId="3" applyNumberFormat="1" applyFont="1" applyFill="1" applyBorder="1" applyAlignment="1">
      <alignment horizontal="right" vertical="top"/>
    </xf>
    <xf numFmtId="166" fontId="5" fillId="2" borderId="1" xfId="3" applyNumberFormat="1" applyFont="1" applyFill="1" applyBorder="1" applyAlignment="1">
      <alignment horizontal="right" vertical="top" wrapText="1"/>
    </xf>
    <xf numFmtId="166" fontId="5" fillId="0" borderId="1" xfId="3" applyNumberFormat="1" applyFont="1" applyBorder="1" applyAlignment="1">
      <alignment horizontal="right" vertical="top"/>
    </xf>
    <xf numFmtId="0" fontId="5" fillId="2" borderId="1" xfId="3" applyFont="1" applyFill="1" applyBorder="1" applyAlignment="1">
      <alignment horizontal="right" vertical="top"/>
    </xf>
    <xf numFmtId="167" fontId="5" fillId="0" borderId="1" xfId="3" applyNumberFormat="1" applyFont="1" applyBorder="1" applyAlignment="1">
      <alignment horizontal="right"/>
    </xf>
    <xf numFmtId="1" fontId="4" fillId="2" borderId="1" xfId="3" quotePrefix="1" applyNumberFormat="1" applyFont="1" applyFill="1" applyBorder="1" applyAlignment="1">
      <alignment horizontal="left" vertical="top"/>
    </xf>
    <xf numFmtId="1" fontId="5" fillId="2" borderId="1" xfId="3" quotePrefix="1" applyNumberFormat="1" applyFont="1" applyFill="1" applyBorder="1" applyAlignment="1">
      <alignment horizontal="right" vertical="top"/>
    </xf>
    <xf numFmtId="166" fontId="5" fillId="2" borderId="1" xfId="3" quotePrefix="1" applyNumberFormat="1" applyFont="1" applyFill="1" applyBorder="1" applyAlignment="1">
      <alignment horizontal="right" vertical="top"/>
    </xf>
    <xf numFmtId="166" fontId="5" fillId="2" borderId="1" xfId="3" quotePrefix="1" applyNumberFormat="1" applyFont="1" applyFill="1" applyBorder="1" applyAlignment="1">
      <alignment horizontal="right" vertical="top" wrapText="1"/>
    </xf>
    <xf numFmtId="0" fontId="5" fillId="2" borderId="1" xfId="3" applyFont="1" applyFill="1" applyBorder="1" applyAlignment="1">
      <alignment horizontal="right"/>
    </xf>
    <xf numFmtId="166" fontId="5" fillId="2" borderId="1" xfId="3" applyNumberFormat="1" applyFont="1" applyFill="1" applyBorder="1" applyAlignment="1">
      <alignment horizontal="right"/>
    </xf>
    <xf numFmtId="166" fontId="5" fillId="2" borderId="1" xfId="3" applyNumberFormat="1" applyFont="1" applyFill="1" applyBorder="1" applyAlignment="1">
      <alignment horizontal="right" wrapText="1"/>
    </xf>
    <xf numFmtId="0" fontId="5" fillId="2" borderId="1" xfId="3" quotePrefix="1" applyFont="1" applyFill="1" applyBorder="1" applyAlignment="1">
      <alignment horizontal="right"/>
    </xf>
    <xf numFmtId="166" fontId="27" fillId="2" borderId="2" xfId="3" applyNumberFormat="1" applyFont="1" applyFill="1" applyBorder="1" applyAlignment="1">
      <alignment horizontal="right" vertical="top"/>
    </xf>
    <xf numFmtId="1" fontId="4" fillId="2" borderId="1" xfId="3" applyNumberFormat="1" applyFont="1" applyFill="1" applyBorder="1" applyAlignment="1">
      <alignment horizontal="right" vertical="top"/>
    </xf>
    <xf numFmtId="0" fontId="6" fillId="2" borderId="0" xfId="3" applyFont="1" applyFill="1"/>
    <xf numFmtId="166" fontId="6" fillId="2" borderId="0" xfId="3" applyNumberFormat="1" applyFont="1" applyFill="1" applyAlignment="1">
      <alignment horizontal="center"/>
    </xf>
    <xf numFmtId="0" fontId="29" fillId="2" borderId="0" xfId="3" applyFont="1" applyFill="1"/>
    <xf numFmtId="166" fontId="29" fillId="2" borderId="0" xfId="3" applyNumberFormat="1" applyFont="1" applyFill="1" applyAlignment="1">
      <alignment horizontal="center"/>
    </xf>
    <xf numFmtId="1" fontId="4" fillId="2" borderId="5" xfId="3" applyNumberFormat="1" applyFont="1" applyFill="1" applyBorder="1" applyAlignment="1">
      <alignment vertical="top"/>
    </xf>
    <xf numFmtId="0" fontId="5" fillId="0" borderId="0" xfId="6" applyFont="1" applyProtection="1">
      <protection locked="0"/>
    </xf>
    <xf numFmtId="0" fontId="5" fillId="8" borderId="0" xfId="6" applyFont="1" applyFill="1" applyProtection="1">
      <protection locked="0"/>
    </xf>
    <xf numFmtId="0" fontId="4" fillId="0" borderId="0" xfId="6" applyFont="1" applyProtection="1">
      <protection locked="0"/>
    </xf>
    <xf numFmtId="0" fontId="4" fillId="10" borderId="0" xfId="6" applyFont="1" applyFill="1" applyProtection="1">
      <protection locked="0"/>
    </xf>
    <xf numFmtId="0" fontId="5" fillId="12" borderId="0" xfId="6" applyFont="1" applyFill="1" applyProtection="1">
      <protection locked="0"/>
    </xf>
    <xf numFmtId="166" fontId="5" fillId="0" borderId="0" xfId="6" applyNumberFormat="1" applyFont="1" applyProtection="1">
      <protection locked="0"/>
    </xf>
    <xf numFmtId="9" fontId="5" fillId="0" borderId="0" xfId="6" applyNumberFormat="1" applyFont="1" applyProtection="1">
      <protection locked="0"/>
    </xf>
    <xf numFmtId="0" fontId="9" fillId="0" borderId="0" xfId="6" applyFont="1" applyProtection="1">
      <protection locked="0"/>
    </xf>
    <xf numFmtId="166" fontId="9" fillId="0" borderId="0" xfId="6" applyNumberFormat="1" applyFont="1" applyProtection="1">
      <protection locked="0"/>
    </xf>
    <xf numFmtId="0" fontId="3" fillId="2" borderId="0" xfId="4" applyFont="1" applyFill="1" applyProtection="1">
      <protection locked="0"/>
    </xf>
    <xf numFmtId="0" fontId="32" fillId="2" borderId="0" xfId="6" applyFont="1" applyFill="1" applyProtection="1">
      <protection locked="0"/>
    </xf>
    <xf numFmtId="166" fontId="32" fillId="2" borderId="0" xfId="6" applyNumberFormat="1" applyFont="1" applyFill="1" applyProtection="1">
      <protection locked="0"/>
    </xf>
    <xf numFmtId="0" fontId="22" fillId="2" borderId="0" xfId="3" applyFont="1" applyFill="1"/>
    <xf numFmtId="0" fontId="3" fillId="3" borderId="13" xfId="4" applyFont="1" applyFill="1" applyBorder="1" applyProtection="1">
      <protection locked="0"/>
    </xf>
    <xf numFmtId="0" fontId="32" fillId="3" borderId="0" xfId="6" applyFont="1" applyFill="1" applyProtection="1">
      <protection locked="0"/>
    </xf>
    <xf numFmtId="0" fontId="3" fillId="3" borderId="1" xfId="4" applyFont="1" applyFill="1" applyBorder="1" applyProtection="1">
      <protection locked="0"/>
    </xf>
    <xf numFmtId="0" fontId="5" fillId="0" borderId="1" xfId="4" applyFont="1" applyBorder="1" applyAlignment="1" applyProtection="1">
      <alignment vertical="center"/>
      <protection locked="0"/>
    </xf>
    <xf numFmtId="0" fontId="5" fillId="0" borderId="1" xfId="4" applyFont="1" applyBorder="1" applyAlignment="1" applyProtection="1">
      <alignment wrapText="1"/>
      <protection locked="0"/>
    </xf>
    <xf numFmtId="0" fontId="4" fillId="17" borderId="1" xfId="4" applyFont="1" applyFill="1" applyBorder="1" applyProtection="1">
      <protection locked="0"/>
    </xf>
    <xf numFmtId="0" fontId="5" fillId="0" borderId="1" xfId="4" applyFont="1" applyBorder="1" applyProtection="1">
      <protection locked="0"/>
    </xf>
    <xf numFmtId="0" fontId="4" fillId="17" borderId="1" xfId="4" applyFont="1" applyFill="1" applyBorder="1" applyAlignment="1" applyProtection="1">
      <alignment vertical="center"/>
      <protection locked="0"/>
    </xf>
    <xf numFmtId="0" fontId="20" fillId="17" borderId="1" xfId="4" applyFont="1" applyFill="1" applyBorder="1" applyAlignment="1" applyProtection="1">
      <alignment wrapText="1"/>
      <protection locked="0"/>
    </xf>
    <xf numFmtId="1" fontId="3" fillId="18" borderId="1" xfId="4" applyNumberFormat="1" applyFont="1" applyFill="1" applyBorder="1" applyAlignment="1" applyProtection="1">
      <alignment horizontal="left" vertical="center"/>
      <protection locked="0"/>
    </xf>
    <xf numFmtId="1" fontId="3" fillId="3" borderId="1" xfId="6" applyNumberFormat="1" applyFont="1" applyFill="1" applyBorder="1" applyAlignment="1" applyProtection="1">
      <alignment horizontal="center" vertical="center"/>
      <protection locked="0"/>
    </xf>
    <xf numFmtId="1" fontId="4" fillId="0" borderId="13" xfId="6" applyNumberFormat="1" applyFont="1" applyBorder="1" applyAlignment="1" applyProtection="1">
      <alignment horizontal="center" vertical="center"/>
      <protection locked="0"/>
    </xf>
    <xf numFmtId="1" fontId="4" fillId="0" borderId="1" xfId="6" applyNumberFormat="1" applyFont="1" applyBorder="1" applyAlignment="1" applyProtection="1">
      <alignment horizontal="center" vertical="center"/>
      <protection locked="0"/>
    </xf>
    <xf numFmtId="0" fontId="5" fillId="0" borderId="1" xfId="4" applyFont="1" applyBorder="1" applyAlignment="1" applyProtection="1">
      <alignment vertical="center" wrapText="1"/>
      <protection locked="0"/>
    </xf>
    <xf numFmtId="1" fontId="4" fillId="2" borderId="1" xfId="6" applyNumberFormat="1" applyFont="1" applyFill="1" applyBorder="1" applyAlignment="1">
      <alignment horizontal="left" vertical="center"/>
    </xf>
    <xf numFmtId="1" fontId="4" fillId="2" borderId="1" xfId="6" applyNumberFormat="1" applyFont="1" applyFill="1" applyBorder="1" applyAlignment="1">
      <alignment horizontal="center" vertical="center"/>
    </xf>
    <xf numFmtId="0" fontId="4" fillId="2" borderId="1" xfId="4" applyFont="1" applyFill="1" applyBorder="1"/>
    <xf numFmtId="1" fontId="20" fillId="2" borderId="1" xfId="6" applyNumberFormat="1" applyFont="1" applyFill="1" applyBorder="1" applyAlignment="1">
      <alignment horizontal="center" vertical="center"/>
    </xf>
    <xf numFmtId="0" fontId="4" fillId="2" borderId="1" xfId="4" applyFont="1" applyFill="1" applyBorder="1" applyProtection="1">
      <protection locked="0"/>
    </xf>
    <xf numFmtId="0" fontId="5" fillId="2" borderId="1" xfId="4" applyFont="1" applyFill="1" applyBorder="1" applyAlignment="1">
      <alignment wrapText="1"/>
    </xf>
    <xf numFmtId="1" fontId="24" fillId="5" borderId="0" xfId="3" applyNumberFormat="1" applyFont="1" applyFill="1" applyAlignment="1">
      <alignment horizontal="left" vertical="center"/>
    </xf>
    <xf numFmtId="1" fontId="25" fillId="5" borderId="0" xfId="3" applyNumberFormat="1" applyFont="1" applyFill="1" applyAlignment="1">
      <alignment horizontal="left" vertical="center"/>
    </xf>
    <xf numFmtId="166" fontId="25" fillId="5" borderId="0" xfId="3" applyNumberFormat="1" applyFont="1" applyFill="1" applyAlignment="1">
      <alignment horizontal="left" vertical="center"/>
    </xf>
    <xf numFmtId="0" fontId="1" fillId="2" borderId="0" xfId="3" applyFont="1" applyFill="1" applyAlignment="1">
      <alignment wrapText="1"/>
    </xf>
    <xf numFmtId="0" fontId="1" fillId="2" borderId="0" xfId="3" applyFont="1" applyFill="1"/>
    <xf numFmtId="1" fontId="4" fillId="5" borderId="0" xfId="3" applyNumberFormat="1" applyFont="1" applyFill="1" applyAlignment="1">
      <alignment horizontal="left" vertical="center"/>
    </xf>
    <xf numFmtId="166" fontId="4" fillId="5" borderId="0" xfId="3" applyNumberFormat="1" applyFont="1" applyFill="1" applyAlignment="1">
      <alignment horizontal="left" vertical="center"/>
    </xf>
    <xf numFmtId="0" fontId="31" fillId="2" borderId="0" xfId="3" applyFont="1" applyFill="1" applyAlignment="1">
      <alignment wrapText="1"/>
    </xf>
    <xf numFmtId="1" fontId="33" fillId="5" borderId="0" xfId="3" applyNumberFormat="1" applyFont="1" applyFill="1" applyAlignment="1">
      <alignment horizontal="left" vertical="center"/>
    </xf>
    <xf numFmtId="166" fontId="33" fillId="5" borderId="0" xfId="3" applyNumberFormat="1" applyFont="1" applyFill="1" applyAlignment="1">
      <alignment horizontal="left" vertical="center"/>
    </xf>
    <xf numFmtId="1" fontId="4" fillId="5" borderId="9" xfId="3" applyNumberFormat="1" applyFont="1" applyFill="1" applyBorder="1" applyAlignment="1">
      <alignment horizontal="left" vertical="center"/>
    </xf>
    <xf numFmtId="166" fontId="4" fillId="5" borderId="9" xfId="3" applyNumberFormat="1" applyFont="1" applyFill="1" applyBorder="1" applyAlignment="1">
      <alignment horizontal="left" vertical="center"/>
    </xf>
    <xf numFmtId="1" fontId="4" fillId="5" borderId="7" xfId="3" applyNumberFormat="1" applyFont="1" applyFill="1" applyBorder="1" applyAlignment="1">
      <alignment horizontal="left" vertical="center"/>
    </xf>
    <xf numFmtId="1" fontId="25" fillId="2" borderId="0" xfId="3" applyNumberFormat="1" applyFont="1" applyFill="1" applyAlignment="1">
      <alignment horizontal="left" vertical="center"/>
    </xf>
    <xf numFmtId="1" fontId="26" fillId="18" borderId="4" xfId="3" applyNumberFormat="1" applyFont="1" applyFill="1" applyBorder="1" applyAlignment="1">
      <alignment horizontal="left" vertical="center"/>
    </xf>
    <xf numFmtId="1" fontId="26" fillId="18" borderId="5" xfId="3" applyNumberFormat="1" applyFont="1" applyFill="1" applyBorder="1" applyAlignment="1">
      <alignment horizontal="left" vertical="center"/>
    </xf>
    <xf numFmtId="166" fontId="26" fillId="18" borderId="6" xfId="3" applyNumberFormat="1" applyFont="1" applyFill="1" applyBorder="1" applyAlignment="1">
      <alignment horizontal="left" vertical="center"/>
    </xf>
    <xf numFmtId="0" fontId="26" fillId="18" borderId="6" xfId="3" applyFont="1" applyFill="1" applyBorder="1" applyAlignment="1">
      <alignment horizontal="left" vertical="center"/>
    </xf>
    <xf numFmtId="166" fontId="26" fillId="18" borderId="6" xfId="3" applyNumberFormat="1" applyFont="1" applyFill="1" applyBorder="1" applyAlignment="1">
      <alignment horizontal="left" vertical="center" wrapText="1"/>
    </xf>
    <xf numFmtId="166" fontId="1" fillId="2" borderId="0" xfId="3" applyNumberFormat="1" applyFont="1" applyFill="1"/>
    <xf numFmtId="0" fontId="21" fillId="17" borderId="3" xfId="3" applyFont="1" applyFill="1" applyBorder="1"/>
    <xf numFmtId="0" fontId="21" fillId="17" borderId="3" xfId="3" applyFont="1" applyFill="1" applyBorder="1" applyAlignment="1">
      <alignment horizontal="right"/>
    </xf>
    <xf numFmtId="0" fontId="21" fillId="17" borderId="1" xfId="3" applyFont="1" applyFill="1" applyBorder="1" applyAlignment="1">
      <alignment horizontal="right"/>
    </xf>
    <xf numFmtId="166" fontId="21" fillId="17" borderId="1" xfId="3" applyNumberFormat="1" applyFont="1" applyFill="1" applyBorder="1" applyAlignment="1">
      <alignment horizontal="right"/>
    </xf>
    <xf numFmtId="0" fontId="18" fillId="2" borderId="0" xfId="3" applyFont="1" applyFill="1"/>
    <xf numFmtId="0" fontId="28" fillId="2" borderId="8" xfId="3" applyFont="1" applyFill="1" applyBorder="1" applyAlignment="1">
      <alignment horizontal="right"/>
    </xf>
    <xf numFmtId="0" fontId="28" fillId="2" borderId="1" xfId="3" applyFont="1" applyFill="1" applyBorder="1" applyAlignment="1">
      <alignment horizontal="right"/>
    </xf>
    <xf numFmtId="166" fontId="28" fillId="2" borderId="1" xfId="3" applyNumberFormat="1" applyFont="1" applyFill="1" applyBorder="1" applyAlignment="1">
      <alignment horizontal="right"/>
    </xf>
    <xf numFmtId="0" fontId="21" fillId="17" borderId="8" xfId="3" applyFont="1" applyFill="1" applyBorder="1"/>
    <xf numFmtId="0" fontId="28" fillId="17" borderId="8" xfId="3" applyFont="1" applyFill="1" applyBorder="1" applyAlignment="1">
      <alignment horizontal="right"/>
    </xf>
    <xf numFmtId="0" fontId="30" fillId="2" borderId="0" xfId="3" applyFont="1" applyFill="1"/>
    <xf numFmtId="0" fontId="30" fillId="2" borderId="0" xfId="3" applyFont="1" applyFill="1" applyAlignment="1">
      <alignment wrapText="1"/>
    </xf>
    <xf numFmtId="0" fontId="31" fillId="2" borderId="0" xfId="3" applyFont="1" applyFill="1"/>
    <xf numFmtId="166" fontId="31" fillId="2" borderId="0" xfId="3" applyNumberFormat="1" applyFont="1" applyFill="1"/>
    <xf numFmtId="3" fontId="6" fillId="2" borderId="0" xfId="3" applyNumberFormat="1" applyFont="1" applyFill="1" applyAlignment="1">
      <alignment horizontal="center" vertical="center"/>
    </xf>
    <xf numFmtId="0" fontId="2" fillId="2" borderId="0" xfId="3" applyFill="1"/>
    <xf numFmtId="0" fontId="19" fillId="2" borderId="0" xfId="3" applyFont="1" applyFill="1" applyAlignment="1">
      <alignment horizontal="right"/>
    </xf>
    <xf numFmtId="0" fontId="19" fillId="2" borderId="0" xfId="3" applyFont="1" applyFill="1"/>
    <xf numFmtId="1" fontId="4" fillId="5" borderId="0" xfId="3" quotePrefix="1" applyNumberFormat="1" applyFont="1" applyFill="1" applyAlignment="1">
      <alignment horizontal="left" vertical="center"/>
    </xf>
    <xf numFmtId="1" fontId="2" fillId="2" borderId="0" xfId="3" applyNumberFormat="1" applyFill="1"/>
    <xf numFmtId="1" fontId="33" fillId="5" borderId="0" xfId="3" applyNumberFormat="1" applyFont="1" applyFill="1" applyAlignment="1">
      <alignment horizontal="right" vertical="center"/>
    </xf>
    <xf numFmtId="3" fontId="6" fillId="2" borderId="0" xfId="3" applyNumberFormat="1" applyFont="1" applyFill="1" applyAlignment="1">
      <alignment horizontal="left" vertical="center"/>
    </xf>
    <xf numFmtId="171" fontId="4" fillId="5" borderId="0" xfId="10" applyNumberFormat="1" applyFont="1" applyFill="1" applyAlignment="1">
      <alignment horizontal="right" vertical="center"/>
    </xf>
    <xf numFmtId="3" fontId="9" fillId="2" borderId="0" xfId="3" applyNumberFormat="1" applyFont="1" applyFill="1" applyAlignment="1">
      <alignment horizontal="center" vertical="center"/>
    </xf>
    <xf numFmtId="0" fontId="2" fillId="2" borderId="0" xfId="3" applyFill="1" applyAlignment="1">
      <alignment horizontal="right"/>
    </xf>
    <xf numFmtId="171" fontId="4" fillId="5" borderId="7" xfId="10" applyNumberFormat="1" applyFont="1" applyFill="1" applyBorder="1" applyAlignment="1">
      <alignment horizontal="right" vertical="center"/>
    </xf>
    <xf numFmtId="1" fontId="4" fillId="5" borderId="0" xfId="3" applyNumberFormat="1" applyFont="1" applyFill="1" applyAlignment="1">
      <alignment horizontal="right" vertical="center"/>
    </xf>
    <xf numFmtId="3" fontId="3" fillId="3" borderId="1" xfId="3" applyNumberFormat="1" applyFont="1" applyFill="1" applyBorder="1" applyAlignment="1">
      <alignment horizontal="center" vertical="center" wrapText="1"/>
    </xf>
    <xf numFmtId="3" fontId="3" fillId="3" borderId="1" xfId="3" applyNumberFormat="1" applyFont="1" applyFill="1" applyBorder="1" applyAlignment="1">
      <alignment horizontal="right" vertical="center" wrapText="1"/>
    </xf>
    <xf numFmtId="173" fontId="5" fillId="2" borderId="1" xfId="11" applyNumberFormat="1" applyFont="1" applyFill="1" applyBorder="1" applyAlignment="1">
      <alignment horizontal="right" vertical="top"/>
    </xf>
    <xf numFmtId="172" fontId="5" fillId="2" borderId="1" xfId="10" applyNumberFormat="1" applyFont="1" applyFill="1" applyBorder="1" applyAlignment="1">
      <alignment horizontal="right" vertical="top"/>
    </xf>
    <xf numFmtId="9" fontId="5" fillId="2" borderId="1" xfId="11" applyFont="1" applyFill="1" applyBorder="1" applyAlignment="1">
      <alignment horizontal="right" vertical="top"/>
    </xf>
    <xf numFmtId="172" fontId="2" fillId="2" borderId="1" xfId="3" applyNumberFormat="1" applyFill="1" applyBorder="1" applyAlignment="1">
      <alignment horizontal="right"/>
    </xf>
    <xf numFmtId="167" fontId="2" fillId="2" borderId="1" xfId="3" applyNumberFormat="1" applyFill="1" applyBorder="1" applyAlignment="1">
      <alignment horizontal="right"/>
    </xf>
    <xf numFmtId="0" fontId="2" fillId="2" borderId="1" xfId="3" applyFill="1" applyBorder="1" applyAlignment="1">
      <alignment horizontal="right"/>
    </xf>
    <xf numFmtId="0" fontId="2" fillId="2" borderId="1" xfId="3" applyFill="1" applyBorder="1"/>
    <xf numFmtId="1" fontId="4" fillId="2" borderId="1" xfId="3" quotePrefix="1" applyNumberFormat="1" applyFont="1" applyFill="1" applyBorder="1" applyAlignment="1">
      <alignment horizontal="right" vertical="top"/>
    </xf>
    <xf numFmtId="2" fontId="5" fillId="2" borderId="1" xfId="3" quotePrefix="1" applyNumberFormat="1" applyFont="1" applyFill="1" applyBorder="1" applyAlignment="1">
      <alignment horizontal="right" vertical="top"/>
    </xf>
    <xf numFmtId="3" fontId="5" fillId="2" borderId="1" xfId="3" quotePrefix="1" applyNumberFormat="1" applyFont="1" applyFill="1" applyBorder="1" applyAlignment="1">
      <alignment horizontal="right" vertical="top"/>
    </xf>
    <xf numFmtId="173" fontId="5" fillId="2" borderId="1" xfId="11" quotePrefix="1" applyNumberFormat="1" applyFont="1" applyFill="1" applyBorder="1" applyAlignment="1">
      <alignment horizontal="right" vertical="top"/>
    </xf>
    <xf numFmtId="9" fontId="5" fillId="2" borderId="1" xfId="11" quotePrefix="1" applyFont="1" applyFill="1" applyBorder="1" applyAlignment="1">
      <alignment horizontal="right" vertical="top"/>
    </xf>
    <xf numFmtId="167" fontId="8" fillId="2" borderId="1" xfId="3" applyNumberFormat="1" applyFont="1" applyFill="1" applyBorder="1" applyAlignment="1">
      <alignment horizontal="right"/>
    </xf>
    <xf numFmtId="0" fontId="8" fillId="2" borderId="1" xfId="3" applyFont="1" applyFill="1" applyBorder="1"/>
    <xf numFmtId="0" fontId="8" fillId="2" borderId="0" xfId="3" applyFont="1" applyFill="1"/>
    <xf numFmtId="1" fontId="4" fillId="2" borderId="1" xfId="3" applyNumberFormat="1" applyFont="1" applyFill="1" applyBorder="1" applyAlignment="1">
      <alignment vertical="center"/>
    </xf>
    <xf numFmtId="1" fontId="4" fillId="2" borderId="1" xfId="3" applyNumberFormat="1" applyFont="1" applyFill="1" applyBorder="1" applyAlignment="1">
      <alignment horizontal="right" vertical="center"/>
    </xf>
    <xf numFmtId="2" fontId="5" fillId="2" borderId="1" xfId="3" applyNumberFormat="1" applyFont="1" applyFill="1" applyBorder="1" applyAlignment="1">
      <alignment horizontal="right" vertical="center"/>
    </xf>
    <xf numFmtId="3" fontId="5" fillId="2" borderId="1" xfId="3" applyNumberFormat="1" applyFont="1" applyFill="1" applyBorder="1" applyAlignment="1">
      <alignment horizontal="right" vertical="center"/>
    </xf>
    <xf numFmtId="173" fontId="5" fillId="2" borderId="1" xfId="11" applyNumberFormat="1" applyFont="1" applyFill="1" applyBorder="1" applyAlignment="1">
      <alignment horizontal="right" vertical="center"/>
    </xf>
    <xf numFmtId="9" fontId="5" fillId="2" borderId="1" xfId="11" applyFont="1" applyFill="1" applyBorder="1" applyAlignment="1">
      <alignment horizontal="right" vertical="center"/>
    </xf>
    <xf numFmtId="0" fontId="4" fillId="2" borderId="1" xfId="3" applyFont="1" applyFill="1" applyBorder="1" applyAlignment="1">
      <alignment horizontal="right"/>
    </xf>
    <xf numFmtId="173" fontId="5" fillId="2" borderId="1" xfId="11" applyNumberFormat="1" applyFont="1" applyFill="1" applyBorder="1" applyAlignment="1">
      <alignment horizontal="right"/>
    </xf>
    <xf numFmtId="9" fontId="5" fillId="2" borderId="1" xfId="11" applyFont="1" applyFill="1" applyBorder="1" applyAlignment="1">
      <alignment horizontal="right"/>
    </xf>
    <xf numFmtId="167" fontId="2" fillId="0" borderId="1" xfId="3" applyNumberFormat="1" applyBorder="1" applyAlignment="1">
      <alignment horizontal="right"/>
    </xf>
    <xf numFmtId="1" fontId="4" fillId="2" borderId="1" xfId="3" quotePrefix="1" applyNumberFormat="1" applyFont="1" applyFill="1" applyBorder="1" applyAlignment="1">
      <alignment horizontal="left" vertical="center"/>
    </xf>
    <xf numFmtId="1" fontId="4" fillId="2" borderId="1" xfId="3" quotePrefix="1" applyNumberFormat="1" applyFont="1" applyFill="1" applyBorder="1" applyAlignment="1">
      <alignment horizontal="right" vertical="center"/>
    </xf>
    <xf numFmtId="2" fontId="5" fillId="2" borderId="1" xfId="3" quotePrefix="1" applyNumberFormat="1" applyFont="1" applyFill="1" applyBorder="1" applyAlignment="1">
      <alignment horizontal="right" vertical="center"/>
    </xf>
    <xf numFmtId="3" fontId="5" fillId="2" borderId="1" xfId="3" quotePrefix="1" applyNumberFormat="1" applyFont="1" applyFill="1" applyBorder="1" applyAlignment="1">
      <alignment horizontal="right" vertical="center"/>
    </xf>
    <xf numFmtId="173" fontId="5" fillId="2" borderId="1" xfId="11" quotePrefix="1" applyNumberFormat="1" applyFont="1" applyFill="1" applyBorder="1" applyAlignment="1">
      <alignment horizontal="right" vertical="center"/>
    </xf>
    <xf numFmtId="9" fontId="5" fillId="2" borderId="1" xfId="11" quotePrefix="1" applyFont="1" applyFill="1" applyBorder="1" applyAlignment="1">
      <alignment horizontal="right" vertical="center"/>
    </xf>
    <xf numFmtId="0" fontId="4" fillId="2" borderId="1" xfId="3" applyFont="1" applyFill="1" applyBorder="1" applyAlignment="1">
      <alignment vertical="center"/>
    </xf>
    <xf numFmtId="0" fontId="4" fillId="2" borderId="1" xfId="3" applyFont="1" applyFill="1" applyBorder="1" applyAlignment="1">
      <alignment horizontal="right" vertical="center"/>
    </xf>
    <xf numFmtId="0" fontId="4" fillId="2" borderId="1" xfId="3" quotePrefix="1" applyFont="1" applyFill="1" applyBorder="1" applyAlignment="1">
      <alignment horizontal="right"/>
    </xf>
    <xf numFmtId="0" fontId="4" fillId="2" borderId="1" xfId="3" quotePrefix="1" applyFont="1" applyFill="1" applyBorder="1" applyAlignment="1">
      <alignment horizontal="left" vertical="center"/>
    </xf>
    <xf numFmtId="0" fontId="4" fillId="2" borderId="1" xfId="3" quotePrefix="1" applyFont="1" applyFill="1" applyBorder="1" applyAlignment="1">
      <alignment horizontal="right" vertical="center"/>
    </xf>
    <xf numFmtId="172" fontId="2" fillId="0" borderId="1" xfId="3" applyNumberFormat="1" applyBorder="1" applyAlignment="1">
      <alignment horizontal="right"/>
    </xf>
    <xf numFmtId="0" fontId="4" fillId="2" borderId="1" xfId="3" applyFont="1" applyFill="1" applyBorder="1" applyAlignment="1">
      <alignment horizontal="right" vertical="top"/>
    </xf>
    <xf numFmtId="0" fontId="4" fillId="0" borderId="1" xfId="3" applyFont="1" applyBorder="1"/>
    <xf numFmtId="0" fontId="4" fillId="0" borderId="1" xfId="3" applyFont="1" applyBorder="1" applyAlignment="1">
      <alignment vertical="center"/>
    </xf>
    <xf numFmtId="0" fontId="4" fillId="0" borderId="1" xfId="3" quotePrefix="1" applyFont="1" applyBorder="1" applyAlignment="1">
      <alignment horizontal="left" vertical="top"/>
    </xf>
    <xf numFmtId="0" fontId="4" fillId="2" borderId="1" xfId="3" quotePrefix="1" applyFont="1" applyFill="1" applyBorder="1" applyAlignment="1">
      <alignment horizontal="right" vertical="top"/>
    </xf>
    <xf numFmtId="1" fontId="4" fillId="14" borderId="1" xfId="3" quotePrefix="1" applyNumberFormat="1" applyFont="1" applyFill="1" applyBorder="1" applyAlignment="1">
      <alignment horizontal="right" vertical="top"/>
    </xf>
    <xf numFmtId="173" fontId="5" fillId="0" borderId="1" xfId="11" applyNumberFormat="1" applyFont="1" applyFill="1" applyBorder="1" applyAlignment="1">
      <alignment horizontal="right" vertical="top"/>
    </xf>
    <xf numFmtId="172" fontId="5" fillId="0" borderId="1" xfId="10" applyNumberFormat="1" applyFont="1" applyFill="1" applyBorder="1" applyAlignment="1">
      <alignment horizontal="right"/>
    </xf>
    <xf numFmtId="9" fontId="5" fillId="0" borderId="1" xfId="11" applyFont="1" applyFill="1" applyBorder="1" applyAlignment="1">
      <alignment horizontal="right" vertical="top"/>
    </xf>
    <xf numFmtId="172" fontId="5" fillId="0" borderId="1" xfId="10" applyNumberFormat="1" applyFont="1" applyFill="1" applyBorder="1" applyAlignment="1">
      <alignment horizontal="right" vertical="top"/>
    </xf>
    <xf numFmtId="0" fontId="2" fillId="0" borderId="1" xfId="3" applyBorder="1" applyAlignment="1">
      <alignment horizontal="right"/>
    </xf>
    <xf numFmtId="17" fontId="2" fillId="0" borderId="1" xfId="3" applyNumberFormat="1" applyBorder="1" applyAlignment="1">
      <alignment horizontal="right"/>
    </xf>
    <xf numFmtId="1" fontId="4" fillId="14" borderId="1" xfId="3" applyNumberFormat="1" applyFont="1" applyFill="1" applyBorder="1" applyAlignment="1">
      <alignment horizontal="right" vertical="top"/>
    </xf>
    <xf numFmtId="0" fontId="11" fillId="17" borderId="1" xfId="3" applyFont="1" applyFill="1" applyBorder="1" applyAlignment="1">
      <alignment vertical="center"/>
    </xf>
    <xf numFmtId="0" fontId="11" fillId="17" borderId="1" xfId="3" applyFont="1" applyFill="1" applyBorder="1" applyAlignment="1">
      <alignment horizontal="right" vertical="center"/>
    </xf>
    <xf numFmtId="2" fontId="11" fillId="17" borderId="1" xfId="3" applyNumberFormat="1" applyFont="1" applyFill="1" applyBorder="1" applyAlignment="1">
      <alignment horizontal="right" vertical="center"/>
    </xf>
    <xf numFmtId="172" fontId="11" fillId="17" borderId="1" xfId="3" applyNumberFormat="1" applyFont="1" applyFill="1" applyBorder="1" applyAlignment="1">
      <alignment horizontal="right" vertical="center"/>
    </xf>
    <xf numFmtId="3" fontId="11" fillId="17" borderId="1" xfId="3" applyNumberFormat="1" applyFont="1" applyFill="1" applyBorder="1" applyAlignment="1">
      <alignment horizontal="right" vertical="center"/>
    </xf>
    <xf numFmtId="172" fontId="7" fillId="17" borderId="1" xfId="3" applyNumberFormat="1" applyFont="1" applyFill="1" applyBorder="1" applyAlignment="1">
      <alignment horizontal="right"/>
    </xf>
    <xf numFmtId="0" fontId="7" fillId="17" borderId="1" xfId="3" applyFont="1" applyFill="1" applyBorder="1" applyAlignment="1">
      <alignment horizontal="right"/>
    </xf>
    <xf numFmtId="0" fontId="7" fillId="2" borderId="0" xfId="3" applyFont="1" applyFill="1"/>
    <xf numFmtId="0" fontId="6" fillId="2" borderId="0" xfId="3" applyFont="1" applyFill="1" applyAlignment="1">
      <alignment vertical="center"/>
    </xf>
    <xf numFmtId="2" fontId="6" fillId="2" borderId="0" xfId="3" applyNumberFormat="1" applyFont="1" applyFill="1" applyAlignment="1">
      <alignment horizontal="center" vertical="center"/>
    </xf>
    <xf numFmtId="0" fontId="11" fillId="2" borderId="0" xfId="3" applyFont="1" applyFill="1" applyAlignment="1">
      <alignment vertical="center"/>
    </xf>
    <xf numFmtId="0" fontId="6" fillId="2" borderId="0" xfId="3" applyFont="1" applyFill="1" applyAlignment="1">
      <alignment horizontal="center" vertical="center"/>
    </xf>
    <xf numFmtId="43" fontId="5" fillId="2" borderId="1" xfId="10" applyFont="1" applyFill="1" applyBorder="1" applyAlignment="1">
      <alignment horizontal="center" vertical="top"/>
    </xf>
    <xf numFmtId="9" fontId="5" fillId="2" borderId="1" xfId="11" applyFont="1" applyFill="1" applyBorder="1" applyAlignment="1">
      <alignment horizontal="center" vertical="top"/>
    </xf>
    <xf numFmtId="164" fontId="5" fillId="2" borderId="1" xfId="10" applyNumberFormat="1" applyFont="1" applyFill="1" applyBorder="1" applyAlignment="1">
      <alignment horizontal="center" vertical="top"/>
    </xf>
    <xf numFmtId="9" fontId="5" fillId="2" borderId="4" xfId="11" applyFont="1" applyFill="1" applyBorder="1" applyAlignment="1">
      <alignment horizontal="center" vertical="top"/>
    </xf>
    <xf numFmtId="0" fontId="2" fillId="0" borderId="1" xfId="3" applyBorder="1"/>
    <xf numFmtId="2" fontId="5" fillId="2" borderId="1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9" fontId="5" fillId="2" borderId="1" xfId="11" applyFont="1" applyFill="1" applyBorder="1" applyAlignment="1">
      <alignment horizontal="center"/>
    </xf>
    <xf numFmtId="0" fontId="9" fillId="2" borderId="0" xfId="3" applyFont="1" applyFill="1" applyAlignment="1">
      <alignment vertical="center"/>
    </xf>
    <xf numFmtId="43" fontId="6" fillId="2" borderId="0" xfId="3" applyNumberFormat="1" applyFont="1" applyFill="1" applyAlignment="1">
      <alignment vertical="center"/>
    </xf>
    <xf numFmtId="165" fontId="3" fillId="3" borderId="1" xfId="12" quotePrefix="1" applyNumberFormat="1" applyFont="1" applyFill="1" applyBorder="1" applyAlignment="1" applyProtection="1">
      <alignment horizontal="right" vertical="center" wrapText="1"/>
      <protection locked="0"/>
    </xf>
    <xf numFmtId="165" fontId="32" fillId="3" borderId="1" xfId="12" applyNumberFormat="1" applyFont="1" applyFill="1" applyBorder="1" applyAlignment="1" applyProtection="1">
      <alignment horizontal="right" wrapText="1"/>
      <protection locked="0"/>
    </xf>
    <xf numFmtId="165" fontId="5" fillId="2" borderId="1" xfId="12" quotePrefix="1" applyNumberFormat="1" applyFont="1" applyFill="1" applyBorder="1" applyAlignment="1" applyProtection="1">
      <alignment horizontal="right" vertical="center" wrapText="1"/>
    </xf>
    <xf numFmtId="165" fontId="5" fillId="2" borderId="1" xfId="12" applyNumberFormat="1" applyFont="1" applyFill="1" applyBorder="1" applyAlignment="1" applyProtection="1">
      <alignment horizontal="right" wrapText="1"/>
    </xf>
    <xf numFmtId="165" fontId="5" fillId="2" borderId="1" xfId="12" applyNumberFormat="1" applyFont="1" applyFill="1" applyBorder="1" applyAlignment="1" applyProtection="1">
      <alignment horizontal="right" wrapText="1"/>
      <protection locked="0"/>
    </xf>
    <xf numFmtId="165" fontId="4" fillId="17" borderId="1" xfId="12" applyNumberFormat="1" applyFont="1" applyFill="1" applyBorder="1" applyAlignment="1" applyProtection="1">
      <alignment horizontal="right" wrapText="1"/>
      <protection locked="0"/>
    </xf>
    <xf numFmtId="165" fontId="4" fillId="0" borderId="1" xfId="12" quotePrefix="1" applyNumberFormat="1" applyFont="1" applyBorder="1" applyAlignment="1" applyProtection="1">
      <alignment horizontal="right" vertical="center" wrapText="1"/>
      <protection locked="0"/>
    </xf>
    <xf numFmtId="165" fontId="5" fillId="0" borderId="1" xfId="12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12" applyNumberFormat="1" applyFont="1" applyBorder="1" applyAlignment="1" applyProtection="1">
      <alignment horizontal="right" wrapText="1"/>
      <protection locked="0"/>
    </xf>
    <xf numFmtId="165" fontId="5" fillId="0" borderId="1" xfId="12" applyNumberFormat="1" applyFont="1" applyBorder="1" applyAlignment="1" applyProtection="1">
      <alignment horizontal="right" vertical="center"/>
      <protection locked="0"/>
    </xf>
    <xf numFmtId="164" fontId="5" fillId="0" borderId="0" xfId="12" quotePrefix="1" applyNumberFormat="1" applyFont="1" applyBorder="1" applyAlignment="1" applyProtection="1">
      <alignment horizontal="right" vertical="center" wrapText="1"/>
      <protection locked="0"/>
    </xf>
    <xf numFmtId="165" fontId="4" fillId="0" borderId="0" xfId="12" quotePrefix="1" applyNumberFormat="1" applyFont="1" applyBorder="1" applyAlignment="1" applyProtection="1">
      <alignment horizontal="right" vertical="center" wrapText="1"/>
      <protection locked="0"/>
    </xf>
    <xf numFmtId="165" fontId="4" fillId="17" borderId="1" xfId="12" applyNumberFormat="1" applyFont="1" applyFill="1" applyBorder="1" applyAlignment="1" applyProtection="1">
      <alignment horizontal="right" vertical="center"/>
      <protection locked="0"/>
    </xf>
    <xf numFmtId="165" fontId="3" fillId="2" borderId="0" xfId="12" applyNumberFormat="1" applyFont="1" applyFill="1" applyBorder="1" applyAlignment="1" applyProtection="1">
      <alignment horizontal="right" vertical="center"/>
      <protection locked="0"/>
    </xf>
    <xf numFmtId="0" fontId="31" fillId="0" borderId="0" xfId="3" applyFont="1"/>
    <xf numFmtId="165" fontId="31" fillId="0" borderId="0" xfId="3" applyNumberFormat="1" applyFont="1"/>
    <xf numFmtId="165" fontId="5" fillId="0" borderId="0" xfId="12" applyNumberFormat="1" applyFont="1" applyAlignment="1" applyProtection="1">
      <alignment horizontal="right"/>
      <protection locked="0"/>
    </xf>
    <xf numFmtId="164" fontId="5" fillId="0" borderId="0" xfId="12" applyNumberFormat="1" applyFont="1" applyFill="1" applyAlignment="1" applyProtection="1">
      <alignment horizontal="right"/>
      <protection locked="0"/>
    </xf>
    <xf numFmtId="164" fontId="5" fillId="0" borderId="0" xfId="12" applyNumberFormat="1" applyFont="1" applyAlignment="1" applyProtection="1">
      <alignment horizontal="right"/>
      <protection locked="0"/>
    </xf>
    <xf numFmtId="0" fontId="31" fillId="19" borderId="1" xfId="3" applyFont="1" applyFill="1" applyBorder="1"/>
    <xf numFmtId="0" fontId="31" fillId="19" borderId="1" xfId="3" applyFont="1" applyFill="1" applyBorder="1" applyAlignment="1">
      <alignment horizontal="right"/>
    </xf>
    <xf numFmtId="171" fontId="31" fillId="19" borderId="1" xfId="10" applyNumberFormat="1" applyFont="1" applyFill="1" applyBorder="1" applyAlignment="1">
      <alignment horizontal="right"/>
    </xf>
    <xf numFmtId="9" fontId="31" fillId="19" borderId="1" xfId="3" applyNumberFormat="1" applyFont="1" applyFill="1" applyBorder="1" applyAlignment="1">
      <alignment horizontal="right"/>
    </xf>
    <xf numFmtId="0" fontId="34" fillId="19" borderId="1" xfId="3" applyFont="1" applyFill="1" applyBorder="1" applyAlignment="1">
      <alignment horizontal="right"/>
    </xf>
    <xf numFmtId="0" fontId="34" fillId="19" borderId="1" xfId="3" applyFont="1" applyFill="1" applyBorder="1"/>
    <xf numFmtId="0" fontId="31" fillId="2" borderId="1" xfId="3" applyFont="1" applyFill="1" applyBorder="1" applyAlignment="1">
      <alignment horizontal="right"/>
    </xf>
    <xf numFmtId="171" fontId="31" fillId="2" borderId="1" xfId="10" applyNumberFormat="1" applyFont="1" applyFill="1" applyBorder="1" applyAlignment="1">
      <alignment horizontal="right"/>
    </xf>
    <xf numFmtId="0" fontId="34" fillId="2" borderId="1" xfId="3" applyFont="1" applyFill="1" applyBorder="1" applyAlignment="1">
      <alignment horizontal="right"/>
    </xf>
    <xf numFmtId="0" fontId="34" fillId="2" borderId="1" xfId="3" applyFont="1" applyFill="1" applyBorder="1"/>
    <xf numFmtId="0" fontId="31" fillId="2" borderId="1" xfId="3" applyFont="1" applyFill="1" applyBorder="1"/>
    <xf numFmtId="171" fontId="31" fillId="0" borderId="1" xfId="10" applyNumberFormat="1" applyFont="1" applyBorder="1" applyAlignment="1">
      <alignment horizontal="right"/>
    </xf>
    <xf numFmtId="171" fontId="5" fillId="0" borderId="1" xfId="10" applyNumberFormat="1" applyFont="1" applyBorder="1" applyAlignment="1">
      <alignment horizontal="right"/>
    </xf>
    <xf numFmtId="0" fontId="34" fillId="2" borderId="0" xfId="3" applyFont="1" applyFill="1"/>
    <xf numFmtId="0" fontId="3" fillId="3" borderId="1" xfId="3" applyFont="1" applyFill="1" applyBorder="1"/>
    <xf numFmtId="9" fontId="31" fillId="0" borderId="1" xfId="3" applyNumberFormat="1" applyFont="1" applyBorder="1" applyAlignment="1">
      <alignment horizontal="right"/>
    </xf>
    <xf numFmtId="171" fontId="31" fillId="0" borderId="1" xfId="10" applyNumberFormat="1" applyFont="1" applyFill="1" applyBorder="1" applyAlignment="1">
      <alignment horizontal="right"/>
    </xf>
    <xf numFmtId="0" fontId="31" fillId="0" borderId="1" xfId="3" applyFont="1" applyBorder="1" applyAlignment="1">
      <alignment horizontal="right"/>
    </xf>
    <xf numFmtId="0" fontId="5" fillId="0" borderId="1" xfId="3" applyFont="1" applyBorder="1" applyAlignment="1">
      <alignment horizontal="right"/>
    </xf>
    <xf numFmtId="171" fontId="5" fillId="0" borderId="1" xfId="10" applyNumberFormat="1" applyFont="1" applyFill="1" applyBorder="1" applyAlignment="1">
      <alignment horizontal="right"/>
    </xf>
    <xf numFmtId="0" fontId="2" fillId="4" borderId="0" xfId="8" applyFill="1"/>
    <xf numFmtId="0" fontId="2" fillId="0" borderId="0" xfId="8"/>
    <xf numFmtId="0" fontId="36" fillId="0" borderId="0" xfId="8" applyFont="1"/>
    <xf numFmtId="0" fontId="2" fillId="0" borderId="0" xfId="8" applyAlignment="1">
      <alignment horizontal="right"/>
    </xf>
    <xf numFmtId="15" fontId="2" fillId="4" borderId="0" xfId="8" applyNumberFormat="1" applyFill="1"/>
    <xf numFmtId="0" fontId="7" fillId="0" borderId="0" xfId="8" applyFont="1"/>
    <xf numFmtId="0" fontId="7" fillId="0" borderId="0" xfId="8" applyFont="1" applyAlignment="1">
      <alignment horizontal="right"/>
    </xf>
    <xf numFmtId="0" fontId="35" fillId="15" borderId="26" xfId="8" applyFont="1" applyFill="1" applyBorder="1"/>
    <xf numFmtId="0" fontId="35" fillId="15" borderId="17" xfId="8" applyFont="1" applyFill="1" applyBorder="1" applyAlignment="1">
      <alignment horizontal="center"/>
    </xf>
    <xf numFmtId="0" fontId="35" fillId="15" borderId="27" xfId="8" applyFont="1" applyFill="1" applyBorder="1" applyAlignment="1">
      <alignment horizontal="center"/>
    </xf>
    <xf numFmtId="0" fontId="37" fillId="15" borderId="27" xfId="8" applyFont="1" applyFill="1" applyBorder="1" applyAlignment="1">
      <alignment horizontal="center"/>
    </xf>
    <xf numFmtId="0" fontId="35" fillId="15" borderId="27" xfId="8" applyFont="1" applyFill="1" applyBorder="1"/>
    <xf numFmtId="1" fontId="18" fillId="0" borderId="15" xfId="8" applyNumberFormat="1" applyFont="1" applyBorder="1" applyAlignment="1">
      <alignment horizontal="right"/>
    </xf>
    <xf numFmtId="1" fontId="21" fillId="0" borderId="15" xfId="8" applyNumberFormat="1" applyFont="1" applyBorder="1" applyAlignment="1">
      <alignment horizontal="right"/>
    </xf>
    <xf numFmtId="0" fontId="21" fillId="0" borderId="15" xfId="8" applyFont="1" applyBorder="1" applyAlignment="1">
      <alignment horizontal="right"/>
    </xf>
    <xf numFmtId="0" fontId="35" fillId="15" borderId="28" xfId="8" applyFont="1" applyFill="1" applyBorder="1"/>
    <xf numFmtId="0" fontId="35" fillId="15" borderId="19" xfId="8" applyFont="1" applyFill="1" applyBorder="1" applyAlignment="1">
      <alignment horizontal="center"/>
    </xf>
    <xf numFmtId="44" fontId="35" fillId="15" borderId="29" xfId="9" applyFont="1" applyFill="1" applyBorder="1" applyAlignment="1">
      <alignment horizontal="center"/>
    </xf>
    <xf numFmtId="44" fontId="37" fillId="15" borderId="29" xfId="9" applyFont="1" applyFill="1" applyBorder="1" applyAlignment="1">
      <alignment horizontal="center"/>
    </xf>
    <xf numFmtId="0" fontId="35" fillId="15" borderId="29" xfId="8" applyFont="1" applyFill="1" applyBorder="1"/>
    <xf numFmtId="169" fontId="18" fillId="9" borderId="30" xfId="8" applyNumberFormat="1" applyFont="1" applyFill="1" applyBorder="1" applyAlignment="1">
      <alignment horizontal="right"/>
    </xf>
    <xf numFmtId="169" fontId="18" fillId="9" borderId="14" xfId="8" applyNumberFormat="1" applyFont="1" applyFill="1" applyBorder="1" applyAlignment="1">
      <alignment horizontal="right"/>
    </xf>
    <xf numFmtId="0" fontId="18" fillId="13" borderId="27" xfId="8" applyFont="1" applyFill="1" applyBorder="1" applyAlignment="1">
      <alignment horizontal="center"/>
    </xf>
    <xf numFmtId="44" fontId="18" fillId="13" borderId="17" xfId="9" applyFont="1" applyFill="1" applyBorder="1" applyAlignment="1">
      <alignment horizontal="center"/>
    </xf>
    <xf numFmtId="44" fontId="38" fillId="13" borderId="31" xfId="9" applyFont="1" applyFill="1" applyBorder="1" applyAlignment="1">
      <alignment horizontal="center"/>
    </xf>
    <xf numFmtId="0" fontId="18" fillId="13" borderId="32" xfId="8" applyFont="1" applyFill="1" applyBorder="1"/>
    <xf numFmtId="0" fontId="18" fillId="0" borderId="15" xfId="8" applyFont="1" applyBorder="1" applyAlignment="1">
      <alignment horizontal="right"/>
    </xf>
    <xf numFmtId="0" fontId="35" fillId="0" borderId="15" xfId="8" applyFont="1" applyBorder="1" applyAlignment="1">
      <alignment horizontal="right"/>
    </xf>
    <xf numFmtId="0" fontId="18" fillId="13" borderId="29" xfId="8" applyFont="1" applyFill="1" applyBorder="1" applyAlignment="1">
      <alignment horizontal="center"/>
    </xf>
    <xf numFmtId="44" fontId="18" fillId="13" borderId="19" xfId="9" applyFont="1" applyFill="1" applyBorder="1" applyAlignment="1">
      <alignment horizontal="center"/>
    </xf>
    <xf numFmtId="44" fontId="38" fillId="13" borderId="0" xfId="9" applyFont="1" applyFill="1" applyBorder="1" applyAlignment="1">
      <alignment horizontal="center"/>
    </xf>
    <xf numFmtId="0" fontId="18" fillId="13" borderId="31" xfId="8" applyFont="1" applyFill="1" applyBorder="1"/>
    <xf numFmtId="169" fontId="18" fillId="0" borderId="30" xfId="8" applyNumberFormat="1" applyFont="1" applyBorder="1" applyAlignment="1">
      <alignment horizontal="right"/>
    </xf>
    <xf numFmtId="169" fontId="18" fillId="0" borderId="14" xfId="8" applyNumberFormat="1" applyFont="1" applyBorder="1" applyAlignment="1">
      <alignment horizontal="right"/>
    </xf>
    <xf numFmtId="0" fontId="18" fillId="13" borderId="0" xfId="8" applyFont="1" applyFill="1" applyAlignment="1">
      <alignment horizontal="center"/>
    </xf>
    <xf numFmtId="44" fontId="18" fillId="13" borderId="18" xfId="9" applyFont="1" applyFill="1" applyBorder="1"/>
    <xf numFmtId="44" fontId="38" fillId="13" borderId="31" xfId="9" applyFont="1" applyFill="1" applyBorder="1"/>
    <xf numFmtId="0" fontId="18" fillId="0" borderId="14" xfId="8" applyFont="1" applyBorder="1" applyAlignment="1">
      <alignment horizontal="right"/>
    </xf>
    <xf numFmtId="170" fontId="21" fillId="0" borderId="15" xfId="8" applyNumberFormat="1" applyFont="1" applyBorder="1" applyAlignment="1">
      <alignment horizontal="right"/>
    </xf>
    <xf numFmtId="170" fontId="35" fillId="0" borderId="15" xfId="8" applyNumberFormat="1" applyFont="1" applyBorder="1" applyAlignment="1">
      <alignment horizontal="right"/>
    </xf>
    <xf numFmtId="0" fontId="38" fillId="13" borderId="29" xfId="8" applyFont="1" applyFill="1" applyBorder="1"/>
    <xf numFmtId="44" fontId="21" fillId="13" borderId="17" xfId="9" applyFont="1" applyFill="1" applyBorder="1"/>
    <xf numFmtId="44" fontId="39" fillId="13" borderId="27" xfId="9" applyFont="1" applyFill="1" applyBorder="1"/>
    <xf numFmtId="0" fontId="18" fillId="13" borderId="34" xfId="8" applyFont="1" applyFill="1" applyBorder="1"/>
    <xf numFmtId="0" fontId="18" fillId="19" borderId="15" xfId="8" applyFont="1" applyFill="1" applyBorder="1" applyAlignment="1">
      <alignment horizontal="right"/>
    </xf>
    <xf numFmtId="1" fontId="18" fillId="19" borderId="15" xfId="8" applyNumberFormat="1" applyFont="1" applyFill="1" applyBorder="1" applyAlignment="1">
      <alignment horizontal="right"/>
    </xf>
    <xf numFmtId="170" fontId="21" fillId="19" borderId="15" xfId="8" applyNumberFormat="1" applyFont="1" applyFill="1" applyBorder="1" applyAlignment="1">
      <alignment horizontal="right"/>
    </xf>
    <xf numFmtId="44" fontId="21" fillId="13" borderId="18" xfId="9" applyFont="1" applyFill="1" applyBorder="1"/>
    <xf numFmtId="44" fontId="39" fillId="13" borderId="0" xfId="9" applyFont="1" applyFill="1" applyBorder="1"/>
    <xf numFmtId="169" fontId="18" fillId="19" borderId="30" xfId="8" applyNumberFormat="1" applyFont="1" applyFill="1" applyBorder="1" applyAlignment="1">
      <alignment horizontal="right"/>
    </xf>
    <xf numFmtId="169" fontId="18" fillId="19" borderId="14" xfId="8" applyNumberFormat="1" applyFont="1" applyFill="1" applyBorder="1" applyAlignment="1">
      <alignment horizontal="right"/>
    </xf>
    <xf numFmtId="0" fontId="35" fillId="16" borderId="27" xfId="8" applyFont="1" applyFill="1" applyBorder="1" applyAlignment="1">
      <alignment horizontal="center"/>
    </xf>
    <xf numFmtId="44" fontId="35" fillId="16" borderId="17" xfId="9" applyFont="1" applyFill="1" applyBorder="1"/>
    <xf numFmtId="44" fontId="37" fillId="16" borderId="27" xfId="9" applyFont="1" applyFill="1" applyBorder="1"/>
    <xf numFmtId="0" fontId="35" fillId="16" borderId="34" xfId="8" applyFont="1" applyFill="1" applyBorder="1"/>
    <xf numFmtId="0" fontId="35" fillId="16" borderId="29" xfId="8" applyFont="1" applyFill="1" applyBorder="1" applyAlignment="1">
      <alignment horizontal="center"/>
    </xf>
    <xf numFmtId="44" fontId="35" fillId="16" borderId="19" xfId="9" applyFont="1" applyFill="1" applyBorder="1"/>
    <xf numFmtId="44" fontId="37" fillId="16" borderId="29" xfId="9" applyFont="1" applyFill="1" applyBorder="1"/>
    <xf numFmtId="0" fontId="35" fillId="16" borderId="35" xfId="8" applyFont="1" applyFill="1" applyBorder="1"/>
    <xf numFmtId="0" fontId="35" fillId="16" borderId="0" xfId="8" applyFont="1" applyFill="1" applyAlignment="1">
      <alignment horizontal="center"/>
    </xf>
    <xf numFmtId="44" fontId="37" fillId="16" borderId="0" xfId="9" applyFont="1" applyFill="1" applyBorder="1"/>
    <xf numFmtId="44" fontId="18" fillId="0" borderId="15" xfId="8" applyNumberFormat="1" applyFont="1" applyBorder="1" applyAlignment="1">
      <alignment horizontal="right"/>
    </xf>
    <xf numFmtId="44" fontId="35" fillId="16" borderId="18" xfId="9" applyFont="1" applyFill="1" applyBorder="1"/>
    <xf numFmtId="0" fontId="35" fillId="16" borderId="31" xfId="8" applyFont="1" applyFill="1" applyBorder="1"/>
    <xf numFmtId="0" fontId="21" fillId="4" borderId="27" xfId="8" applyFont="1" applyFill="1" applyBorder="1" applyAlignment="1">
      <alignment horizontal="center"/>
    </xf>
    <xf numFmtId="44" fontId="21" fillId="4" borderId="17" xfId="9" applyFont="1" applyFill="1" applyBorder="1"/>
    <xf numFmtId="44" fontId="39" fillId="4" borderId="27" xfId="9" applyFont="1" applyFill="1" applyBorder="1"/>
    <xf numFmtId="0" fontId="21" fillId="4" borderId="34" xfId="8" applyFont="1" applyFill="1" applyBorder="1"/>
    <xf numFmtId="0" fontId="21" fillId="4" borderId="29" xfId="8" applyFont="1" applyFill="1" applyBorder="1" applyAlignment="1">
      <alignment horizontal="center"/>
    </xf>
    <xf numFmtId="44" fontId="21" fillId="4" borderId="19" xfId="9" applyFont="1" applyFill="1" applyBorder="1"/>
    <xf numFmtId="0" fontId="39" fillId="4" borderId="29" xfId="8" applyFont="1" applyFill="1" applyBorder="1"/>
    <xf numFmtId="0" fontId="21" fillId="4" borderId="35" xfId="8" applyFont="1" applyFill="1" applyBorder="1"/>
    <xf numFmtId="0" fontId="21" fillId="4" borderId="0" xfId="8" applyFont="1" applyFill="1" applyAlignment="1">
      <alignment horizontal="center"/>
    </xf>
    <xf numFmtId="0" fontId="21" fillId="4" borderId="18" xfId="8" applyFont="1" applyFill="1" applyBorder="1"/>
    <xf numFmtId="0" fontId="39" fillId="4" borderId="0" xfId="8" applyFont="1" applyFill="1"/>
    <xf numFmtId="169" fontId="18" fillId="0" borderId="15" xfId="8" applyNumberFormat="1" applyFont="1" applyBorder="1" applyAlignment="1">
      <alignment horizontal="right"/>
    </xf>
    <xf numFmtId="169" fontId="21" fillId="0" borderId="15" xfId="8" applyNumberFormat="1" applyFont="1" applyBorder="1" applyAlignment="1">
      <alignment horizontal="right"/>
    </xf>
    <xf numFmtId="169" fontId="21" fillId="19" borderId="15" xfId="8" applyNumberFormat="1" applyFont="1" applyFill="1" applyBorder="1" applyAlignment="1">
      <alignment horizontal="right"/>
    </xf>
    <xf numFmtId="44" fontId="21" fillId="4" borderId="18" xfId="9" applyFont="1" applyFill="1" applyBorder="1"/>
    <xf numFmtId="44" fontId="39" fillId="4" borderId="0" xfId="9" applyFont="1" applyFill="1" applyBorder="1"/>
    <xf numFmtId="0" fontId="21" fillId="4" borderId="31" xfId="8" applyFont="1" applyFill="1" applyBorder="1"/>
    <xf numFmtId="2" fontId="37" fillId="16" borderId="27" xfId="8" applyNumberFormat="1" applyFont="1" applyFill="1" applyBorder="1"/>
    <xf numFmtId="0" fontId="37" fillId="16" borderId="29" xfId="8" applyFont="1" applyFill="1" applyBorder="1"/>
    <xf numFmtId="169" fontId="18" fillId="0" borderId="25" xfId="8" applyNumberFormat="1" applyFont="1" applyBorder="1" applyAlignment="1">
      <alignment horizontal="right"/>
    </xf>
    <xf numFmtId="2" fontId="35" fillId="16" borderId="17" xfId="8" applyNumberFormat="1" applyFont="1" applyFill="1" applyBorder="1"/>
    <xf numFmtId="0" fontId="35" fillId="16" borderId="19" xfId="8" applyFont="1" applyFill="1" applyBorder="1"/>
    <xf numFmtId="169" fontId="21" fillId="0" borderId="16" xfId="8" applyNumberFormat="1" applyFont="1" applyBorder="1" applyAlignment="1">
      <alignment horizontal="right"/>
    </xf>
    <xf numFmtId="0" fontId="21" fillId="4" borderId="35" xfId="8" applyFont="1" applyFill="1" applyBorder="1" applyAlignment="1">
      <alignment horizontal="center"/>
    </xf>
    <xf numFmtId="44" fontId="39" fillId="4" borderId="29" xfId="9" applyFont="1" applyFill="1" applyBorder="1"/>
    <xf numFmtId="44" fontId="18" fillId="0" borderId="25" xfId="8" applyNumberFormat="1" applyFont="1" applyBorder="1" applyAlignment="1">
      <alignment horizontal="right"/>
    </xf>
    <xf numFmtId="44" fontId="18" fillId="4" borderId="17" xfId="9" applyFont="1" applyFill="1" applyBorder="1"/>
    <xf numFmtId="169" fontId="18" fillId="19" borderId="25" xfId="8" applyNumberFormat="1" applyFont="1" applyFill="1" applyBorder="1" applyAlignment="1">
      <alignment horizontal="right"/>
    </xf>
    <xf numFmtId="169" fontId="18" fillId="2" borderId="14" xfId="8" applyNumberFormat="1" applyFont="1" applyFill="1" applyBorder="1" applyAlignment="1">
      <alignment horizontal="right"/>
    </xf>
    <xf numFmtId="2" fontId="35" fillId="16" borderId="19" xfId="8" applyNumberFormat="1" applyFont="1" applyFill="1" applyBorder="1"/>
    <xf numFmtId="169" fontId="18" fillId="19" borderId="22" xfId="8" applyNumberFormat="1" applyFont="1" applyFill="1" applyBorder="1" applyAlignment="1">
      <alignment horizontal="right"/>
    </xf>
    <xf numFmtId="169" fontId="18" fillId="19" borderId="37" xfId="8" applyNumberFormat="1" applyFont="1" applyFill="1" applyBorder="1" applyAlignment="1">
      <alignment horizontal="right"/>
    </xf>
    <xf numFmtId="170" fontId="18" fillId="0" borderId="0" xfId="8" applyNumberFormat="1" applyFont="1" applyAlignment="1">
      <alignment horizontal="right"/>
    </xf>
    <xf numFmtId="0" fontId="40" fillId="0" borderId="0" xfId="8" applyFont="1"/>
    <xf numFmtId="0" fontId="41" fillId="0" borderId="0" xfId="8" applyFont="1"/>
    <xf numFmtId="0" fontId="31" fillId="0" borderId="1" xfId="3" applyFont="1" applyBorder="1" applyAlignment="1">
      <alignment wrapText="1"/>
    </xf>
    <xf numFmtId="165" fontId="5" fillId="0" borderId="1" xfId="12" quotePrefix="1" applyNumberFormat="1" applyFont="1" applyFill="1" applyBorder="1" applyAlignment="1" applyProtection="1">
      <alignment horizontal="right" vertical="center" wrapText="1"/>
    </xf>
    <xf numFmtId="165" fontId="5" fillId="0" borderId="1" xfId="12" applyNumberFormat="1" applyFont="1" applyFill="1" applyBorder="1" applyAlignment="1" applyProtection="1">
      <alignment horizontal="right" wrapText="1"/>
    </xf>
    <xf numFmtId="165" fontId="5" fillId="0" borderId="1" xfId="12" applyNumberFormat="1" applyFont="1" applyFill="1" applyBorder="1" applyAlignment="1" applyProtection="1">
      <alignment horizontal="right" wrapText="1"/>
      <protection locked="0"/>
    </xf>
    <xf numFmtId="165" fontId="5" fillId="0" borderId="1" xfId="12" applyNumberFormat="1" applyFont="1" applyFill="1" applyBorder="1" applyAlignment="1" applyProtection="1">
      <alignment horizontal="right" vertical="center"/>
      <protection locked="0"/>
    </xf>
    <xf numFmtId="0" fontId="34" fillId="0" borderId="1" xfId="3" applyFont="1" applyBorder="1"/>
    <xf numFmtId="0" fontId="34" fillId="0" borderId="1" xfId="3" applyFont="1" applyBorder="1" applyAlignment="1">
      <alignment horizontal="right"/>
    </xf>
    <xf numFmtId="0" fontId="31" fillId="0" borderId="1" xfId="3" applyFont="1" applyBorder="1"/>
    <xf numFmtId="9" fontId="31" fillId="0" borderId="1" xfId="3" applyNumberFormat="1" applyFont="1" applyBorder="1"/>
    <xf numFmtId="0" fontId="31" fillId="0" borderId="1" xfId="3" applyFont="1" applyBorder="1" applyAlignment="1">
      <alignment horizontal="left" indent="1"/>
    </xf>
    <xf numFmtId="0" fontId="27" fillId="0" borderId="1" xfId="3" applyFont="1" applyBorder="1" applyAlignment="1">
      <alignment horizontal="right"/>
    </xf>
    <xf numFmtId="0" fontId="21" fillId="4" borderId="16" xfId="8" applyFont="1" applyFill="1" applyBorder="1" applyAlignment="1">
      <alignment vertical="center"/>
    </xf>
    <xf numFmtId="0" fontId="21" fillId="4" borderId="36" xfId="8" applyFont="1" applyFill="1" applyBorder="1" applyAlignment="1">
      <alignment vertical="center"/>
    </xf>
    <xf numFmtId="0" fontId="35" fillId="16" borderId="26" xfId="8" applyFont="1" applyFill="1" applyBorder="1" applyAlignment="1">
      <alignment vertical="center"/>
    </xf>
    <xf numFmtId="0" fontId="2" fillId="0" borderId="33" xfId="8" applyBorder="1" applyAlignment="1">
      <alignment vertical="center"/>
    </xf>
    <xf numFmtId="0" fontId="2" fillId="0" borderId="28" xfId="8" applyBorder="1" applyAlignment="1">
      <alignment vertical="center"/>
    </xf>
    <xf numFmtId="0" fontId="18" fillId="13" borderId="26" xfId="8" applyFont="1" applyFill="1" applyBorder="1" applyAlignment="1">
      <alignment vertical="center"/>
    </xf>
    <xf numFmtId="0" fontId="21" fillId="4" borderId="26" xfId="8" applyFont="1" applyFill="1" applyBorder="1" applyAlignment="1">
      <alignment vertical="center"/>
    </xf>
    <xf numFmtId="0" fontId="8" fillId="4" borderId="33" xfId="8" applyFont="1" applyFill="1" applyBorder="1" applyAlignment="1">
      <alignment vertical="center"/>
    </xf>
    <xf numFmtId="0" fontId="8" fillId="4" borderId="28" xfId="8" applyFont="1" applyFill="1" applyBorder="1" applyAlignment="1">
      <alignment vertical="center"/>
    </xf>
  </cellXfs>
  <cellStyles count="13">
    <cellStyle name="Comma" xfId="1" builtinId="3"/>
    <cellStyle name="Comma 2" xfId="7" xr:uid="{D870F492-B323-4C91-A170-41AE8FDFEF3F}"/>
    <cellStyle name="Comma 2 2" xfId="12" xr:uid="{FE90A168-1037-4E76-80E4-4424C4BD31CA}"/>
    <cellStyle name="Comma 4" xfId="10" xr:uid="{5B3DF5E9-BE63-4823-9782-FC9FC49AFEDE}"/>
    <cellStyle name="Currency 3" xfId="9" xr:uid="{BD9AED58-77C0-44F8-9911-39A537B4CD63}"/>
    <cellStyle name="Normal" xfId="0" builtinId="0"/>
    <cellStyle name="Normal 2" xfId="3" xr:uid="{F79119D0-45B4-4319-A064-92189E3C5965}"/>
    <cellStyle name="Normal 2 2" xfId="8" xr:uid="{CFC4A206-CE0F-45FA-9337-EB8FA6DDEA47}"/>
    <cellStyle name="Normal 3" xfId="4" xr:uid="{83C79A0A-1823-465D-BFA1-829EA399C2D8}"/>
    <cellStyle name="Normal_RETAIL AND SAFETY  KPIs FULL YEAR VERIFICATION ISSUED" xfId="6" xr:uid="{EDDE6A6F-9248-441F-A191-D6257524C278}"/>
    <cellStyle name="Percent" xfId="2" builtinId="5"/>
    <cellStyle name="Percent 2" xfId="5" xr:uid="{BC874E11-F100-426F-BC20-2564E76F5E9A}"/>
    <cellStyle name="Percent 3" xfId="11" xr:uid="{8811C508-ECB6-42EF-9408-754A002526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19783</xdr:colOff>
      <xdr:row>19</xdr:row>
      <xdr:rowOff>178777</xdr:rowOff>
    </xdr:from>
    <xdr:to>
      <xdr:col>26</xdr:col>
      <xdr:colOff>240149</xdr:colOff>
      <xdr:row>48</xdr:row>
      <xdr:rowOff>12852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F56FC1-CCB4-4F8D-A02F-B654AB03B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5983" y="4855552"/>
          <a:ext cx="8135641" cy="452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6EDD3-7F08-4037-96DC-CB8D13A1A067}">
  <sheetPr>
    <pageSetUpPr fitToPage="1"/>
  </sheetPr>
  <dimension ref="A2:DJ77"/>
  <sheetViews>
    <sheetView tabSelected="1" zoomScale="55" zoomScaleNormal="55" zoomScaleSheetLayoutView="55" workbookViewId="0">
      <selection activeCell="H7" sqref="H7"/>
    </sheetView>
  </sheetViews>
  <sheetFormatPr defaultColWidth="8.7109375" defaultRowHeight="15"/>
  <cols>
    <col min="1" max="1" width="37.85546875" style="261" customWidth="1"/>
    <col min="2" max="2" width="22.42578125" style="261" customWidth="1"/>
    <col min="3" max="3" width="19.140625" style="261" customWidth="1"/>
    <col min="4" max="4" width="14" style="264" customWidth="1"/>
    <col min="5" max="5" width="12.28515625" style="188" customWidth="1"/>
    <col min="6" max="6" width="8.85546875" style="188" customWidth="1"/>
    <col min="7" max="7" width="18.85546875" style="188" customWidth="1"/>
    <col min="8" max="8" width="29.28515625" style="188" customWidth="1"/>
    <col min="9" max="9" width="12.5703125" style="188" customWidth="1"/>
    <col min="10" max="10" width="23" style="188" customWidth="1"/>
    <col min="11" max="11" width="21.42578125" style="189" customWidth="1"/>
    <col min="12" max="12" width="28.85546875" style="198" bestFit="1" customWidth="1"/>
    <col min="13" max="13" width="17.85546875" style="189" customWidth="1"/>
    <col min="14" max="14" width="12.85546875" style="189" customWidth="1"/>
    <col min="15" max="15" width="14.7109375" style="189" customWidth="1"/>
    <col min="16" max="16" width="16.42578125" style="189" customWidth="1"/>
    <col min="17" max="17" width="18" style="189" bestFit="1" customWidth="1"/>
    <col min="18" max="18" width="49.140625" style="189" customWidth="1"/>
    <col min="19" max="16384" width="8.7109375" style="189"/>
  </cols>
  <sheetData>
    <row r="2" spans="1:114" ht="18.399999999999999" customHeight="1">
      <c r="A2" s="162" t="s">
        <v>120</v>
      </c>
      <c r="B2" s="159"/>
      <c r="C2" s="159"/>
      <c r="D2" s="159"/>
      <c r="E2" s="159"/>
      <c r="L2" s="190"/>
      <c r="M2" s="191"/>
    </row>
    <row r="3" spans="1:114" ht="18.399999999999999" customHeight="1">
      <c r="A3" s="159" t="s">
        <v>1</v>
      </c>
      <c r="B3" s="192" t="s">
        <v>2</v>
      </c>
      <c r="C3" s="192"/>
      <c r="D3" s="192"/>
      <c r="E3" s="192"/>
      <c r="L3" s="190"/>
      <c r="M3" s="191"/>
      <c r="O3" s="193"/>
    </row>
    <row r="4" spans="1:114" ht="18.399999999999999" customHeight="1">
      <c r="A4" s="159"/>
      <c r="B4" s="194" t="s">
        <v>3</v>
      </c>
      <c r="C4" s="194" t="s">
        <v>4</v>
      </c>
      <c r="D4" s="194" t="s">
        <v>121</v>
      </c>
      <c r="E4" s="194" t="s">
        <v>122</v>
      </c>
      <c r="F4" s="195"/>
      <c r="L4" s="190"/>
      <c r="M4" s="191"/>
    </row>
    <row r="5" spans="1:114" ht="18.399999999999999" customHeight="1">
      <c r="A5" s="159" t="s">
        <v>123</v>
      </c>
      <c r="B5" s="196">
        <f>SUM(G14:G34)</f>
        <v>1247.4691499999999</v>
      </c>
      <c r="C5" s="196">
        <f>SUM(K19:K40)</f>
        <v>1191.9691499999999</v>
      </c>
      <c r="D5" s="196">
        <v>0</v>
      </c>
      <c r="E5" s="196">
        <v>0</v>
      </c>
      <c r="H5" s="197"/>
      <c r="L5" s="190"/>
      <c r="M5" s="191"/>
    </row>
    <row r="6" spans="1:114" ht="18.399999999999999" customHeight="1">
      <c r="A6" s="159" t="s">
        <v>124</v>
      </c>
      <c r="B6" s="196">
        <f>SUM(G35:G40)</f>
        <v>122.1</v>
      </c>
      <c r="C6" s="196">
        <v>0</v>
      </c>
      <c r="D6" s="196">
        <v>0</v>
      </c>
      <c r="E6" s="196">
        <v>0</v>
      </c>
      <c r="H6" s="197"/>
      <c r="K6" s="191"/>
      <c r="L6" s="190"/>
      <c r="M6" s="191"/>
    </row>
    <row r="7" spans="1:114">
      <c r="A7" s="159" t="s">
        <v>125</v>
      </c>
      <c r="B7" s="196">
        <f>SUM(G41:G65)</f>
        <v>567.75549999999998</v>
      </c>
      <c r="C7" s="196">
        <v>0</v>
      </c>
      <c r="D7" s="196">
        <v>0</v>
      </c>
      <c r="E7" s="196">
        <f>SUM(P41:P65)</f>
        <v>432.85049999999995</v>
      </c>
      <c r="H7" s="197"/>
      <c r="K7" s="191"/>
      <c r="L7" s="190"/>
      <c r="M7" s="191"/>
    </row>
    <row r="8" spans="1:114">
      <c r="A8" s="159" t="s">
        <v>126</v>
      </c>
      <c r="B8" s="196">
        <f>SUM(G66:G67)</f>
        <v>487.20000000000005</v>
      </c>
      <c r="C8" s="196">
        <f>SUM(K67)</f>
        <v>252</v>
      </c>
      <c r="D8" s="196">
        <f>SUM(M66)</f>
        <v>235.20000000000002</v>
      </c>
      <c r="E8" s="196">
        <v>0</v>
      </c>
      <c r="H8" s="197"/>
    </row>
    <row r="9" spans="1:114">
      <c r="A9" s="159"/>
      <c r="B9" s="196"/>
      <c r="C9" s="196"/>
      <c r="D9" s="196"/>
      <c r="E9" s="196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</row>
    <row r="10" spans="1:114">
      <c r="A10" s="159" t="s">
        <v>127</v>
      </c>
      <c r="B10" s="199">
        <f>SUM(B5:B8)</f>
        <v>2424.5246499999998</v>
      </c>
      <c r="C10" s="199">
        <f>SUM(C5:C8)</f>
        <v>1443.9691499999999</v>
      </c>
      <c r="D10" s="199">
        <f>SUM(D5:D8)</f>
        <v>235.20000000000002</v>
      </c>
      <c r="E10" s="199">
        <f>SUM(E5:E8)</f>
        <v>432.85049999999995</v>
      </c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</row>
    <row r="11" spans="1:114">
      <c r="A11" s="159" t="s">
        <v>128</v>
      </c>
      <c r="B11" s="200"/>
      <c r="C11" s="200"/>
      <c r="D11" s="200">
        <v>2021</v>
      </c>
      <c r="E11" s="200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</row>
    <row r="13" spans="1:114" ht="39" customHeight="1">
      <c r="A13" s="201" t="s">
        <v>129</v>
      </c>
      <c r="B13" s="201" t="s">
        <v>130</v>
      </c>
      <c r="C13" s="201" t="s">
        <v>131</v>
      </c>
      <c r="D13" s="201" t="s">
        <v>16</v>
      </c>
      <c r="E13" s="201" t="s">
        <v>132</v>
      </c>
      <c r="F13" s="201" t="s">
        <v>133</v>
      </c>
      <c r="G13" s="201" t="s">
        <v>134</v>
      </c>
      <c r="H13" s="201" t="s">
        <v>135</v>
      </c>
      <c r="I13" s="201" t="s">
        <v>136</v>
      </c>
      <c r="J13" s="201" t="s">
        <v>137</v>
      </c>
      <c r="K13" s="201" t="s">
        <v>138</v>
      </c>
      <c r="L13" s="202" t="s">
        <v>18</v>
      </c>
      <c r="M13" s="201" t="s">
        <v>121</v>
      </c>
      <c r="N13" s="201" t="s">
        <v>139</v>
      </c>
      <c r="O13" s="201" t="s">
        <v>140</v>
      </c>
      <c r="P13" s="201" t="s">
        <v>141</v>
      </c>
      <c r="Q13" s="201" t="s">
        <v>142</v>
      </c>
      <c r="R13" s="201" t="s">
        <v>117</v>
      </c>
    </row>
    <row r="14" spans="1:114">
      <c r="A14" s="7" t="s">
        <v>143</v>
      </c>
      <c r="B14" s="115" t="s">
        <v>21</v>
      </c>
      <c r="C14" s="115" t="s">
        <v>144</v>
      </c>
      <c r="D14" s="91">
        <v>38</v>
      </c>
      <c r="E14" s="92">
        <v>19</v>
      </c>
      <c r="F14" s="203">
        <v>1</v>
      </c>
      <c r="G14" s="204">
        <f t="shared" ref="G14:G65" si="0">F14*D14</f>
        <v>38</v>
      </c>
      <c r="H14" s="205" t="s">
        <v>30</v>
      </c>
      <c r="I14" s="204">
        <f>D14-G14</f>
        <v>0</v>
      </c>
      <c r="J14" s="205" t="s">
        <v>31</v>
      </c>
      <c r="K14" s="239">
        <f>G14</f>
        <v>38</v>
      </c>
      <c r="L14" s="207">
        <v>47652</v>
      </c>
      <c r="M14" s="208" t="s">
        <v>30</v>
      </c>
      <c r="N14" s="208" t="s">
        <v>30</v>
      </c>
      <c r="O14" s="208" t="s">
        <v>30</v>
      </c>
      <c r="P14" s="208">
        <v>0</v>
      </c>
      <c r="Q14" s="208" t="s">
        <v>30</v>
      </c>
      <c r="R14" s="209"/>
    </row>
    <row r="15" spans="1:114">
      <c r="A15" s="7" t="s">
        <v>145</v>
      </c>
      <c r="B15" s="115" t="s">
        <v>21</v>
      </c>
      <c r="C15" s="115" t="s">
        <v>144</v>
      </c>
      <c r="D15" s="91">
        <v>19.5</v>
      </c>
      <c r="E15" s="92">
        <v>15</v>
      </c>
      <c r="F15" s="203">
        <v>1</v>
      </c>
      <c r="G15" s="204">
        <f t="shared" si="0"/>
        <v>19.5</v>
      </c>
      <c r="H15" s="205" t="s">
        <v>30</v>
      </c>
      <c r="I15" s="204">
        <f t="shared" ref="I15:I65" si="1">D15-G15</f>
        <v>0</v>
      </c>
      <c r="J15" s="205" t="s">
        <v>31</v>
      </c>
      <c r="K15" s="239">
        <f t="shared" ref="K15:K18" si="2">G15</f>
        <v>19.5</v>
      </c>
      <c r="L15" s="207">
        <v>46477</v>
      </c>
      <c r="M15" s="208" t="s">
        <v>30</v>
      </c>
      <c r="N15" s="208" t="s">
        <v>30</v>
      </c>
      <c r="O15" s="208" t="s">
        <v>30</v>
      </c>
      <c r="P15" s="208">
        <v>0</v>
      </c>
      <c r="Q15" s="208" t="s">
        <v>30</v>
      </c>
      <c r="R15" s="209"/>
    </row>
    <row r="16" spans="1:114" s="217" customFormat="1">
      <c r="A16" s="106" t="s">
        <v>146</v>
      </c>
      <c r="B16" s="210" t="s">
        <v>21</v>
      </c>
      <c r="C16" s="115" t="s">
        <v>144</v>
      </c>
      <c r="D16" s="211">
        <v>9.1</v>
      </c>
      <c r="E16" s="212">
        <v>7</v>
      </c>
      <c r="F16" s="213">
        <v>1</v>
      </c>
      <c r="G16" s="204">
        <f t="shared" si="0"/>
        <v>9.1</v>
      </c>
      <c r="H16" s="214" t="s">
        <v>30</v>
      </c>
      <c r="I16" s="204">
        <f t="shared" si="1"/>
        <v>0</v>
      </c>
      <c r="J16" s="205" t="s">
        <v>31</v>
      </c>
      <c r="K16" s="239">
        <f t="shared" si="2"/>
        <v>9.1</v>
      </c>
      <c r="L16" s="215">
        <v>48398</v>
      </c>
      <c r="M16" s="208" t="s">
        <v>30</v>
      </c>
      <c r="N16" s="208" t="s">
        <v>30</v>
      </c>
      <c r="O16" s="208" t="s">
        <v>30</v>
      </c>
      <c r="P16" s="208">
        <v>0</v>
      </c>
      <c r="Q16" s="208" t="s">
        <v>30</v>
      </c>
      <c r="R16" s="216"/>
    </row>
    <row r="17" spans="1:18">
      <c r="A17" s="218" t="s">
        <v>147</v>
      </c>
      <c r="B17" s="219" t="s">
        <v>21</v>
      </c>
      <c r="C17" s="115" t="s">
        <v>144</v>
      </c>
      <c r="D17" s="220">
        <v>108</v>
      </c>
      <c r="E17" s="221">
        <v>32</v>
      </c>
      <c r="F17" s="222">
        <v>1</v>
      </c>
      <c r="G17" s="204">
        <f t="shared" si="0"/>
        <v>108</v>
      </c>
      <c r="H17" s="223" t="s">
        <v>30</v>
      </c>
      <c r="I17" s="204">
        <f t="shared" si="1"/>
        <v>0</v>
      </c>
      <c r="J17" s="205" t="s">
        <v>31</v>
      </c>
      <c r="K17" s="239">
        <f t="shared" si="2"/>
        <v>108</v>
      </c>
      <c r="L17" s="207">
        <v>50101</v>
      </c>
      <c r="M17" s="208" t="s">
        <v>30</v>
      </c>
      <c r="N17" s="208" t="s">
        <v>30</v>
      </c>
      <c r="O17" s="208" t="s">
        <v>30</v>
      </c>
      <c r="P17" s="208">
        <v>0</v>
      </c>
      <c r="Q17" s="208" t="s">
        <v>30</v>
      </c>
      <c r="R17" s="209" t="s">
        <v>148</v>
      </c>
    </row>
    <row r="18" spans="1:18">
      <c r="A18" s="1" t="s">
        <v>149</v>
      </c>
      <c r="B18" s="224" t="s">
        <v>21</v>
      </c>
      <c r="C18" s="115" t="s">
        <v>144</v>
      </c>
      <c r="D18" s="89">
        <v>3</v>
      </c>
      <c r="E18" s="90">
        <v>1</v>
      </c>
      <c r="F18" s="225">
        <v>1</v>
      </c>
      <c r="G18" s="204">
        <f t="shared" si="0"/>
        <v>3</v>
      </c>
      <c r="H18" s="226" t="s">
        <v>30</v>
      </c>
      <c r="I18" s="204">
        <f t="shared" si="1"/>
        <v>0</v>
      </c>
      <c r="J18" s="205" t="s">
        <v>31</v>
      </c>
      <c r="K18" s="239">
        <f t="shared" si="2"/>
        <v>3</v>
      </c>
      <c r="L18" s="207">
        <v>48660</v>
      </c>
      <c r="M18" s="208" t="s">
        <v>30</v>
      </c>
      <c r="N18" s="208" t="s">
        <v>30</v>
      </c>
      <c r="O18" s="208" t="s">
        <v>30</v>
      </c>
      <c r="P18" s="208">
        <v>0</v>
      </c>
      <c r="Q18" s="208" t="s">
        <v>30</v>
      </c>
      <c r="R18" s="209"/>
    </row>
    <row r="19" spans="1:18">
      <c r="A19" s="1" t="s">
        <v>150</v>
      </c>
      <c r="B19" s="210" t="s">
        <v>21</v>
      </c>
      <c r="C19" s="115" t="s">
        <v>144</v>
      </c>
      <c r="D19" s="89">
        <v>349.6</v>
      </c>
      <c r="E19" s="90">
        <v>152</v>
      </c>
      <c r="F19" s="203">
        <v>0.501</v>
      </c>
      <c r="G19" s="204">
        <f>F19*D19</f>
        <v>175.14960000000002</v>
      </c>
      <c r="H19" s="205" t="s">
        <v>151</v>
      </c>
      <c r="I19" s="204">
        <f>D19-G19</f>
        <v>174.4504</v>
      </c>
      <c r="J19" s="205" t="s">
        <v>31</v>
      </c>
      <c r="K19" s="239">
        <f>+G19</f>
        <v>175.14960000000002</v>
      </c>
      <c r="L19" s="227" t="s">
        <v>152</v>
      </c>
      <c r="M19" s="208" t="s">
        <v>30</v>
      </c>
      <c r="N19" s="208" t="s">
        <v>30</v>
      </c>
      <c r="O19" s="208" t="s">
        <v>30</v>
      </c>
      <c r="P19" s="208">
        <v>0</v>
      </c>
      <c r="Q19" s="208" t="s">
        <v>30</v>
      </c>
      <c r="R19" s="209"/>
    </row>
    <row r="20" spans="1:18">
      <c r="A20" s="1" t="s">
        <v>153</v>
      </c>
      <c r="B20" s="210" t="s">
        <v>21</v>
      </c>
      <c r="C20" s="115" t="s">
        <v>144</v>
      </c>
      <c r="D20" s="89">
        <v>172.8</v>
      </c>
      <c r="E20" s="90">
        <v>54</v>
      </c>
      <c r="F20" s="203">
        <v>0.501</v>
      </c>
      <c r="G20" s="204">
        <f>F20*D20</f>
        <v>86.572800000000001</v>
      </c>
      <c r="H20" s="205" t="s">
        <v>151</v>
      </c>
      <c r="I20" s="204">
        <f>D20-G20</f>
        <v>86.227200000000011</v>
      </c>
      <c r="J20" s="205" t="s">
        <v>31</v>
      </c>
      <c r="K20" s="239">
        <f>+G20</f>
        <v>86.572800000000001</v>
      </c>
      <c r="L20" s="227" t="s">
        <v>154</v>
      </c>
      <c r="M20" s="208" t="s">
        <v>30</v>
      </c>
      <c r="N20" s="208" t="s">
        <v>30</v>
      </c>
      <c r="O20" s="208" t="s">
        <v>30</v>
      </c>
      <c r="P20" s="208">
        <v>0</v>
      </c>
      <c r="Q20" s="208" t="s">
        <v>30</v>
      </c>
      <c r="R20" s="209" t="s">
        <v>155</v>
      </c>
    </row>
    <row r="21" spans="1:18">
      <c r="A21" s="7" t="s">
        <v>156</v>
      </c>
      <c r="B21" s="115" t="s">
        <v>21</v>
      </c>
      <c r="C21" s="115" t="s">
        <v>144</v>
      </c>
      <c r="D21" s="91">
        <v>36.799999999999997</v>
      </c>
      <c r="E21" s="92">
        <v>16</v>
      </c>
      <c r="F21" s="203">
        <v>1</v>
      </c>
      <c r="G21" s="204">
        <f t="shared" si="0"/>
        <v>36.799999999999997</v>
      </c>
      <c r="H21" s="205" t="s">
        <v>30</v>
      </c>
      <c r="I21" s="204">
        <f t="shared" si="1"/>
        <v>0</v>
      </c>
      <c r="J21" s="205" t="s">
        <v>31</v>
      </c>
      <c r="K21" s="239">
        <f>G21</f>
        <v>36.799999999999997</v>
      </c>
      <c r="L21" s="207">
        <v>46477</v>
      </c>
      <c r="M21" s="208" t="s">
        <v>30</v>
      </c>
      <c r="N21" s="208" t="s">
        <v>30</v>
      </c>
      <c r="O21" s="208" t="s">
        <v>30</v>
      </c>
      <c r="P21" s="208">
        <v>0</v>
      </c>
      <c r="Q21" s="208" t="s">
        <v>30</v>
      </c>
      <c r="R21" s="209"/>
    </row>
    <row r="22" spans="1:18">
      <c r="A22" s="2" t="s">
        <v>157</v>
      </c>
      <c r="B22" s="210" t="s">
        <v>21</v>
      </c>
      <c r="C22" s="115" t="s">
        <v>144</v>
      </c>
      <c r="D22" s="89">
        <v>94.05</v>
      </c>
      <c r="E22" s="90">
        <v>33</v>
      </c>
      <c r="F22" s="203">
        <v>0.501</v>
      </c>
      <c r="G22" s="204">
        <f>F22*D22</f>
        <v>47.119050000000001</v>
      </c>
      <c r="H22" s="205" t="s">
        <v>158</v>
      </c>
      <c r="I22" s="204">
        <f>D22-G22</f>
        <v>46.930949999999996</v>
      </c>
      <c r="J22" s="205" t="s">
        <v>31</v>
      </c>
      <c r="K22" s="239">
        <f>+G22</f>
        <v>47.119050000000001</v>
      </c>
      <c r="L22" s="227">
        <v>49931</v>
      </c>
      <c r="M22" s="208" t="s">
        <v>30</v>
      </c>
      <c r="N22" s="208" t="s">
        <v>30</v>
      </c>
      <c r="O22" s="208" t="s">
        <v>30</v>
      </c>
      <c r="P22" s="208">
        <v>0</v>
      </c>
      <c r="Q22" s="208" t="s">
        <v>30</v>
      </c>
      <c r="R22" s="209" t="s">
        <v>155</v>
      </c>
    </row>
    <row r="23" spans="1:18">
      <c r="A23" s="7" t="s">
        <v>159</v>
      </c>
      <c r="B23" s="115" t="s">
        <v>21</v>
      </c>
      <c r="C23" s="115" t="s">
        <v>144</v>
      </c>
      <c r="D23" s="91">
        <v>40</v>
      </c>
      <c r="E23" s="92">
        <v>20</v>
      </c>
      <c r="F23" s="203">
        <v>1</v>
      </c>
      <c r="G23" s="204">
        <f t="shared" si="0"/>
        <v>40</v>
      </c>
      <c r="H23" s="205" t="s">
        <v>30</v>
      </c>
      <c r="I23" s="204">
        <f t="shared" si="1"/>
        <v>0</v>
      </c>
      <c r="J23" s="205" t="s">
        <v>31</v>
      </c>
      <c r="K23" s="239">
        <f>G23</f>
        <v>40</v>
      </c>
      <c r="L23" s="207">
        <v>47405</v>
      </c>
      <c r="M23" s="208" t="s">
        <v>30</v>
      </c>
      <c r="N23" s="208" t="s">
        <v>30</v>
      </c>
      <c r="O23" s="208" t="s">
        <v>30</v>
      </c>
      <c r="P23" s="208">
        <v>0</v>
      </c>
      <c r="Q23" s="208" t="s">
        <v>30</v>
      </c>
      <c r="R23" s="209"/>
    </row>
    <row r="24" spans="1:18">
      <c r="A24" s="218" t="s">
        <v>160</v>
      </c>
      <c r="B24" s="219" t="s">
        <v>21</v>
      </c>
      <c r="C24" s="115" t="s">
        <v>144</v>
      </c>
      <c r="D24" s="220">
        <v>70</v>
      </c>
      <c r="E24" s="221">
        <v>35</v>
      </c>
      <c r="F24" s="222">
        <v>1</v>
      </c>
      <c r="G24" s="204">
        <f t="shared" si="0"/>
        <v>70</v>
      </c>
      <c r="H24" s="223" t="s">
        <v>30</v>
      </c>
      <c r="I24" s="204">
        <f t="shared" si="1"/>
        <v>0</v>
      </c>
      <c r="J24" s="205" t="s">
        <v>31</v>
      </c>
      <c r="K24" s="239">
        <f>+G24</f>
        <v>70</v>
      </c>
      <c r="L24" s="207">
        <v>48195</v>
      </c>
      <c r="M24" s="208" t="s">
        <v>30</v>
      </c>
      <c r="N24" s="208" t="s">
        <v>30</v>
      </c>
      <c r="O24" s="208" t="s">
        <v>30</v>
      </c>
      <c r="P24" s="208">
        <v>0</v>
      </c>
      <c r="Q24" s="208" t="s">
        <v>30</v>
      </c>
      <c r="R24" s="209"/>
    </row>
    <row r="25" spans="1:18">
      <c r="A25" s="228" t="s">
        <v>161</v>
      </c>
      <c r="B25" s="229" t="s">
        <v>21</v>
      </c>
      <c r="C25" s="115" t="s">
        <v>144</v>
      </c>
      <c r="D25" s="230">
        <v>156.4</v>
      </c>
      <c r="E25" s="231">
        <v>68</v>
      </c>
      <c r="F25" s="232">
        <v>1</v>
      </c>
      <c r="G25" s="204">
        <f t="shared" si="0"/>
        <v>156.4</v>
      </c>
      <c r="H25" s="233" t="s">
        <v>30</v>
      </c>
      <c r="I25" s="204">
        <f t="shared" si="1"/>
        <v>0</v>
      </c>
      <c r="J25" s="205" t="s">
        <v>31</v>
      </c>
      <c r="K25" s="206">
        <f t="shared" ref="K25:K40" si="3">+G25</f>
        <v>156.4</v>
      </c>
      <c r="L25" s="207">
        <v>48034</v>
      </c>
      <c r="M25" s="208" t="s">
        <v>30</v>
      </c>
      <c r="N25" s="208" t="s">
        <v>30</v>
      </c>
      <c r="O25" s="208" t="s">
        <v>30</v>
      </c>
      <c r="P25" s="208">
        <v>0</v>
      </c>
      <c r="Q25" s="208" t="s">
        <v>30</v>
      </c>
      <c r="R25" s="209"/>
    </row>
    <row r="26" spans="1:18">
      <c r="A26" s="234" t="s">
        <v>162</v>
      </c>
      <c r="B26" s="235" t="s">
        <v>21</v>
      </c>
      <c r="C26" s="115" t="s">
        <v>144</v>
      </c>
      <c r="D26" s="220">
        <v>32.200000000000003</v>
      </c>
      <c r="E26" s="221">
        <v>14</v>
      </c>
      <c r="F26" s="222">
        <v>1</v>
      </c>
      <c r="G26" s="204">
        <f t="shared" si="0"/>
        <v>32.200000000000003</v>
      </c>
      <c r="H26" s="223" t="s">
        <v>30</v>
      </c>
      <c r="I26" s="204">
        <f t="shared" si="1"/>
        <v>0</v>
      </c>
      <c r="J26" s="205" t="s">
        <v>31</v>
      </c>
      <c r="K26" s="206">
        <f t="shared" si="3"/>
        <v>32.200000000000003</v>
      </c>
      <c r="L26" s="207">
        <v>48653</v>
      </c>
      <c r="M26" s="208" t="s">
        <v>30</v>
      </c>
      <c r="N26" s="208" t="s">
        <v>30</v>
      </c>
      <c r="O26" s="208" t="s">
        <v>30</v>
      </c>
      <c r="P26" s="208">
        <v>0</v>
      </c>
      <c r="Q26" s="208" t="s">
        <v>30</v>
      </c>
      <c r="R26" s="209"/>
    </row>
    <row r="27" spans="1:18">
      <c r="A27" s="7" t="s">
        <v>163</v>
      </c>
      <c r="B27" s="115" t="s">
        <v>21</v>
      </c>
      <c r="C27" s="115" t="s">
        <v>144</v>
      </c>
      <c r="D27" s="91">
        <v>119.6</v>
      </c>
      <c r="E27" s="92">
        <v>51</v>
      </c>
      <c r="F27" s="203">
        <v>1</v>
      </c>
      <c r="G27" s="204">
        <f t="shared" si="0"/>
        <v>119.6</v>
      </c>
      <c r="H27" s="205" t="s">
        <v>30</v>
      </c>
      <c r="I27" s="204">
        <f t="shared" si="1"/>
        <v>0</v>
      </c>
      <c r="J27" s="205" t="s">
        <v>31</v>
      </c>
      <c r="K27" s="206">
        <f t="shared" si="3"/>
        <v>119.6</v>
      </c>
      <c r="L27" s="207">
        <v>46477</v>
      </c>
      <c r="M27" s="208" t="s">
        <v>30</v>
      </c>
      <c r="N27" s="208" t="s">
        <v>30</v>
      </c>
      <c r="O27" s="208" t="s">
        <v>30</v>
      </c>
      <c r="P27" s="208">
        <v>0</v>
      </c>
      <c r="Q27" s="208" t="s">
        <v>30</v>
      </c>
      <c r="R27" s="209"/>
    </row>
    <row r="28" spans="1:18">
      <c r="A28" s="106" t="s">
        <v>164</v>
      </c>
      <c r="B28" s="210" t="s">
        <v>21</v>
      </c>
      <c r="C28" s="115" t="s">
        <v>144</v>
      </c>
      <c r="D28" s="91">
        <v>10</v>
      </c>
      <c r="E28" s="92">
        <v>5</v>
      </c>
      <c r="F28" s="203">
        <v>1</v>
      </c>
      <c r="G28" s="204">
        <f t="shared" si="0"/>
        <v>10</v>
      </c>
      <c r="H28" s="205" t="s">
        <v>30</v>
      </c>
      <c r="I28" s="204">
        <f t="shared" si="1"/>
        <v>0</v>
      </c>
      <c r="J28" s="205" t="s">
        <v>31</v>
      </c>
      <c r="K28" s="206">
        <f t="shared" si="3"/>
        <v>10</v>
      </c>
      <c r="L28" s="207">
        <v>48509</v>
      </c>
      <c r="M28" s="208" t="s">
        <v>30</v>
      </c>
      <c r="N28" s="208" t="s">
        <v>30</v>
      </c>
      <c r="O28" s="208" t="s">
        <v>30</v>
      </c>
      <c r="P28" s="208">
        <v>0</v>
      </c>
      <c r="Q28" s="208" t="s">
        <v>30</v>
      </c>
      <c r="R28" s="209"/>
    </row>
    <row r="29" spans="1:18">
      <c r="A29" s="218" t="s">
        <v>165</v>
      </c>
      <c r="B29" s="219" t="s">
        <v>21</v>
      </c>
      <c r="C29" s="115" t="s">
        <v>144</v>
      </c>
      <c r="D29" s="220">
        <v>67.650000000000006</v>
      </c>
      <c r="E29" s="221">
        <v>33</v>
      </c>
      <c r="F29" s="222">
        <v>1</v>
      </c>
      <c r="G29" s="204">
        <f t="shared" si="0"/>
        <v>67.650000000000006</v>
      </c>
      <c r="H29" s="223" t="s">
        <v>30</v>
      </c>
      <c r="I29" s="204">
        <f t="shared" si="1"/>
        <v>0</v>
      </c>
      <c r="J29" s="205" t="s">
        <v>31</v>
      </c>
      <c r="K29" s="206">
        <f t="shared" si="3"/>
        <v>67.650000000000006</v>
      </c>
      <c r="L29" s="207">
        <v>49486</v>
      </c>
      <c r="M29" s="208" t="s">
        <v>30</v>
      </c>
      <c r="N29" s="208" t="s">
        <v>30</v>
      </c>
      <c r="O29" s="208" t="s">
        <v>30</v>
      </c>
      <c r="P29" s="208">
        <v>0</v>
      </c>
      <c r="Q29" s="208" t="s">
        <v>30</v>
      </c>
      <c r="R29" s="209"/>
    </row>
    <row r="30" spans="1:18">
      <c r="A30" s="1" t="s">
        <v>166</v>
      </c>
      <c r="B30" s="210" t="s">
        <v>21</v>
      </c>
      <c r="C30" s="115" t="s">
        <v>144</v>
      </c>
      <c r="D30" s="89">
        <v>227.7</v>
      </c>
      <c r="E30" s="90">
        <v>66</v>
      </c>
      <c r="F30" s="203">
        <v>0.501</v>
      </c>
      <c r="G30" s="204">
        <f>F30*D30</f>
        <v>114.07769999999999</v>
      </c>
      <c r="H30" s="205" t="s">
        <v>158</v>
      </c>
      <c r="I30" s="204">
        <f>D30-G30</f>
        <v>113.6223</v>
      </c>
      <c r="J30" s="205" t="s">
        <v>31</v>
      </c>
      <c r="K30" s="206">
        <f t="shared" si="3"/>
        <v>114.07769999999999</v>
      </c>
      <c r="L30" s="227">
        <v>50130</v>
      </c>
      <c r="M30" s="208" t="s">
        <v>30</v>
      </c>
      <c r="N30" s="208" t="s">
        <v>30</v>
      </c>
      <c r="O30" s="208" t="s">
        <v>30</v>
      </c>
      <c r="P30" s="208">
        <v>0</v>
      </c>
      <c r="Q30" s="208" t="s">
        <v>30</v>
      </c>
      <c r="R30" s="209" t="s">
        <v>155</v>
      </c>
    </row>
    <row r="31" spans="1:18">
      <c r="A31" s="7" t="s">
        <v>167</v>
      </c>
      <c r="B31" s="115" t="s">
        <v>21</v>
      </c>
      <c r="C31" s="115" t="s">
        <v>144</v>
      </c>
      <c r="D31" s="91">
        <v>12.75</v>
      </c>
      <c r="E31" s="92">
        <v>15</v>
      </c>
      <c r="F31" s="203">
        <v>1</v>
      </c>
      <c r="G31" s="204">
        <f t="shared" si="0"/>
        <v>12.75</v>
      </c>
      <c r="H31" s="205" t="s">
        <v>30</v>
      </c>
      <c r="I31" s="204">
        <f t="shared" si="1"/>
        <v>0</v>
      </c>
      <c r="J31" s="205" t="s">
        <v>31</v>
      </c>
      <c r="K31" s="206">
        <f t="shared" si="3"/>
        <v>12.75</v>
      </c>
      <c r="L31" s="207">
        <v>46477</v>
      </c>
      <c r="M31" s="208" t="s">
        <v>30</v>
      </c>
      <c r="N31" s="208" t="s">
        <v>30</v>
      </c>
      <c r="O31" s="208" t="s">
        <v>30</v>
      </c>
      <c r="P31" s="208">
        <v>0</v>
      </c>
      <c r="Q31" s="208" t="s">
        <v>30</v>
      </c>
      <c r="R31" s="209"/>
    </row>
    <row r="32" spans="1:18">
      <c r="A32" s="7" t="s">
        <v>168</v>
      </c>
      <c r="B32" s="115" t="s">
        <v>21</v>
      </c>
      <c r="C32" s="115" t="s">
        <v>144</v>
      </c>
      <c r="D32" s="91">
        <v>5.95</v>
      </c>
      <c r="E32" s="92">
        <v>7</v>
      </c>
      <c r="F32" s="203">
        <v>1</v>
      </c>
      <c r="G32" s="204">
        <f t="shared" si="0"/>
        <v>5.95</v>
      </c>
      <c r="H32" s="205" t="s">
        <v>30</v>
      </c>
      <c r="I32" s="204">
        <f t="shared" si="1"/>
        <v>0</v>
      </c>
      <c r="J32" s="205" t="s">
        <v>31</v>
      </c>
      <c r="K32" s="206">
        <f t="shared" si="3"/>
        <v>5.95</v>
      </c>
      <c r="L32" s="207">
        <v>47196</v>
      </c>
      <c r="M32" s="208" t="s">
        <v>30</v>
      </c>
      <c r="N32" s="208" t="s">
        <v>30</v>
      </c>
      <c r="O32" s="208" t="s">
        <v>30</v>
      </c>
      <c r="P32" s="208">
        <v>0</v>
      </c>
      <c r="Q32" s="208" t="s">
        <v>30</v>
      </c>
      <c r="R32" s="209"/>
    </row>
    <row r="33" spans="1:18">
      <c r="A33" s="7" t="s">
        <v>169</v>
      </c>
      <c r="B33" s="115" t="s">
        <v>21</v>
      </c>
      <c r="C33" s="115" t="s">
        <v>144</v>
      </c>
      <c r="D33" s="91">
        <v>27.6</v>
      </c>
      <c r="E33" s="92">
        <v>12</v>
      </c>
      <c r="F33" s="203">
        <v>1</v>
      </c>
      <c r="G33" s="204">
        <f t="shared" si="0"/>
        <v>27.6</v>
      </c>
      <c r="H33" s="205" t="s">
        <v>30</v>
      </c>
      <c r="I33" s="204">
        <f t="shared" si="1"/>
        <v>0</v>
      </c>
      <c r="J33" s="205" t="s">
        <v>31</v>
      </c>
      <c r="K33" s="206">
        <f t="shared" si="3"/>
        <v>27.6</v>
      </c>
      <c r="L33" s="207">
        <v>47526</v>
      </c>
      <c r="M33" s="208" t="s">
        <v>30</v>
      </c>
      <c r="N33" s="208" t="s">
        <v>30</v>
      </c>
      <c r="O33" s="208" t="s">
        <v>30</v>
      </c>
      <c r="P33" s="208">
        <v>0</v>
      </c>
      <c r="Q33" s="208" t="s">
        <v>30</v>
      </c>
      <c r="R33" s="209"/>
    </row>
    <row r="34" spans="1:18">
      <c r="A34" s="234" t="s">
        <v>170</v>
      </c>
      <c r="B34" s="235" t="s">
        <v>171</v>
      </c>
      <c r="C34" s="115" t="s">
        <v>144</v>
      </c>
      <c r="D34" s="220">
        <v>68</v>
      </c>
      <c r="E34" s="221">
        <v>34</v>
      </c>
      <c r="F34" s="222">
        <v>1</v>
      </c>
      <c r="G34" s="204">
        <f t="shared" si="0"/>
        <v>68</v>
      </c>
      <c r="H34" s="223" t="s">
        <v>30</v>
      </c>
      <c r="I34" s="204">
        <f t="shared" si="1"/>
        <v>0</v>
      </c>
      <c r="J34" s="205" t="s">
        <v>31</v>
      </c>
      <c r="K34" s="206">
        <f t="shared" si="3"/>
        <v>68</v>
      </c>
      <c r="L34" s="207">
        <v>48835</v>
      </c>
      <c r="M34" s="208" t="s">
        <v>30</v>
      </c>
      <c r="N34" s="208" t="s">
        <v>30</v>
      </c>
      <c r="O34" s="208" t="s">
        <v>30</v>
      </c>
      <c r="P34" s="208">
        <v>0</v>
      </c>
      <c r="Q34" s="208" t="s">
        <v>30</v>
      </c>
      <c r="R34" s="209"/>
    </row>
    <row r="35" spans="1:18">
      <c r="A35" s="1" t="s">
        <v>172</v>
      </c>
      <c r="B35" s="224" t="s">
        <v>173</v>
      </c>
      <c r="C35" s="115" t="s">
        <v>144</v>
      </c>
      <c r="D35" s="89">
        <v>9</v>
      </c>
      <c r="E35" s="90">
        <v>6</v>
      </c>
      <c r="F35" s="225">
        <v>1</v>
      </c>
      <c r="G35" s="204">
        <f t="shared" si="0"/>
        <v>9</v>
      </c>
      <c r="H35" s="226" t="s">
        <v>30</v>
      </c>
      <c r="I35" s="204">
        <f t="shared" si="1"/>
        <v>0</v>
      </c>
      <c r="J35" s="205" t="s">
        <v>31</v>
      </c>
      <c r="K35" s="206">
        <f t="shared" si="3"/>
        <v>9</v>
      </c>
      <c r="L35" s="207">
        <v>46477</v>
      </c>
      <c r="M35" s="208" t="s">
        <v>30</v>
      </c>
      <c r="N35" s="208" t="s">
        <v>30</v>
      </c>
      <c r="O35" s="208" t="s">
        <v>30</v>
      </c>
      <c r="P35" s="208">
        <v>0</v>
      </c>
      <c r="Q35" s="208" t="s">
        <v>30</v>
      </c>
      <c r="R35" s="209"/>
    </row>
    <row r="36" spans="1:18">
      <c r="A36" s="1" t="s">
        <v>174</v>
      </c>
      <c r="B36" s="224" t="s">
        <v>173</v>
      </c>
      <c r="C36" s="115" t="s">
        <v>144</v>
      </c>
      <c r="D36" s="89">
        <v>5</v>
      </c>
      <c r="E36" s="90">
        <v>10</v>
      </c>
      <c r="F36" s="225">
        <v>1</v>
      </c>
      <c r="G36" s="204">
        <f t="shared" si="0"/>
        <v>5</v>
      </c>
      <c r="H36" s="226" t="s">
        <v>30</v>
      </c>
      <c r="I36" s="204">
        <f t="shared" si="1"/>
        <v>0</v>
      </c>
      <c r="J36" s="205" t="s">
        <v>31</v>
      </c>
      <c r="K36" s="206">
        <f t="shared" si="3"/>
        <v>5</v>
      </c>
      <c r="L36" s="207">
        <v>46477</v>
      </c>
      <c r="M36" s="208" t="s">
        <v>30</v>
      </c>
      <c r="N36" s="208" t="s">
        <v>30</v>
      </c>
      <c r="O36" s="208" t="s">
        <v>30</v>
      </c>
      <c r="P36" s="208">
        <v>0</v>
      </c>
      <c r="Q36" s="208" t="s">
        <v>30</v>
      </c>
      <c r="R36" s="209"/>
    </row>
    <row r="37" spans="1:18">
      <c r="A37" s="234" t="s">
        <v>175</v>
      </c>
      <c r="B37" s="235" t="s">
        <v>173</v>
      </c>
      <c r="C37" s="115" t="s">
        <v>144</v>
      </c>
      <c r="D37" s="220">
        <v>18.399999999999999</v>
      </c>
      <c r="E37" s="221">
        <v>8</v>
      </c>
      <c r="F37" s="222">
        <v>1</v>
      </c>
      <c r="G37" s="204">
        <f t="shared" si="0"/>
        <v>18.399999999999999</v>
      </c>
      <c r="H37" s="223" t="s">
        <v>30</v>
      </c>
      <c r="I37" s="204">
        <f t="shared" si="1"/>
        <v>0</v>
      </c>
      <c r="J37" s="205" t="s">
        <v>31</v>
      </c>
      <c r="K37" s="206">
        <f t="shared" si="3"/>
        <v>18.399999999999999</v>
      </c>
      <c r="L37" s="207">
        <v>48654</v>
      </c>
      <c r="M37" s="208" t="s">
        <v>30</v>
      </c>
      <c r="N37" s="208" t="s">
        <v>30</v>
      </c>
      <c r="O37" s="208" t="s">
        <v>30</v>
      </c>
      <c r="P37" s="208">
        <v>0</v>
      </c>
      <c r="Q37" s="208" t="s">
        <v>30</v>
      </c>
      <c r="R37" s="209"/>
    </row>
    <row r="38" spans="1:18">
      <c r="A38" s="2" t="s">
        <v>176</v>
      </c>
      <c r="B38" s="236" t="s">
        <v>173</v>
      </c>
      <c r="C38" s="115" t="s">
        <v>144</v>
      </c>
      <c r="D38" s="89">
        <v>27.6</v>
      </c>
      <c r="E38" s="90">
        <v>12</v>
      </c>
      <c r="F38" s="225">
        <v>1</v>
      </c>
      <c r="G38" s="204">
        <f t="shared" si="0"/>
        <v>27.6</v>
      </c>
      <c r="H38" s="226" t="s">
        <v>30</v>
      </c>
      <c r="I38" s="204">
        <f t="shared" si="1"/>
        <v>0</v>
      </c>
      <c r="J38" s="205" t="s">
        <v>31</v>
      </c>
      <c r="K38" s="206">
        <f t="shared" si="3"/>
        <v>27.6</v>
      </c>
      <c r="L38" s="207">
        <v>48654</v>
      </c>
      <c r="M38" s="208" t="s">
        <v>30</v>
      </c>
      <c r="N38" s="208" t="s">
        <v>30</v>
      </c>
      <c r="O38" s="208" t="s">
        <v>30</v>
      </c>
      <c r="P38" s="208">
        <v>0</v>
      </c>
      <c r="Q38" s="208" t="s">
        <v>30</v>
      </c>
      <c r="R38" s="209"/>
    </row>
    <row r="39" spans="1:18">
      <c r="A39" s="234" t="s">
        <v>177</v>
      </c>
      <c r="B39" s="235" t="s">
        <v>173</v>
      </c>
      <c r="C39" s="115" t="s">
        <v>144</v>
      </c>
      <c r="D39" s="220">
        <v>27.6</v>
      </c>
      <c r="E39" s="221">
        <v>12</v>
      </c>
      <c r="F39" s="222">
        <v>1</v>
      </c>
      <c r="G39" s="204">
        <f t="shared" si="0"/>
        <v>27.6</v>
      </c>
      <c r="H39" s="223" t="s">
        <v>30</v>
      </c>
      <c r="I39" s="204">
        <f t="shared" si="1"/>
        <v>0</v>
      </c>
      <c r="J39" s="205" t="s">
        <v>31</v>
      </c>
      <c r="K39" s="206">
        <f t="shared" si="3"/>
        <v>27.6</v>
      </c>
      <c r="L39" s="207">
        <v>48147</v>
      </c>
      <c r="M39" s="208" t="s">
        <v>30</v>
      </c>
      <c r="N39" s="208" t="s">
        <v>30</v>
      </c>
      <c r="O39" s="208" t="s">
        <v>30</v>
      </c>
      <c r="P39" s="208">
        <v>0</v>
      </c>
      <c r="Q39" s="208" t="s">
        <v>30</v>
      </c>
      <c r="R39" s="209"/>
    </row>
    <row r="40" spans="1:18">
      <c r="A40" s="237" t="s">
        <v>178</v>
      </c>
      <c r="B40" s="238" t="s">
        <v>173</v>
      </c>
      <c r="C40" s="115" t="s">
        <v>144</v>
      </c>
      <c r="D40" s="220">
        <v>34.5</v>
      </c>
      <c r="E40" s="221">
        <v>15</v>
      </c>
      <c r="F40" s="222">
        <v>1</v>
      </c>
      <c r="G40" s="204">
        <f t="shared" si="0"/>
        <v>34.5</v>
      </c>
      <c r="H40" s="223" t="s">
        <v>30</v>
      </c>
      <c r="I40" s="204">
        <f t="shared" si="1"/>
        <v>0</v>
      </c>
      <c r="J40" s="205" t="s">
        <v>31</v>
      </c>
      <c r="K40" s="206">
        <f t="shared" si="3"/>
        <v>34.5</v>
      </c>
      <c r="L40" s="207">
        <v>49957</v>
      </c>
      <c r="M40" s="208" t="s">
        <v>30</v>
      </c>
      <c r="N40" s="208" t="s">
        <v>30</v>
      </c>
      <c r="O40" s="208" t="s">
        <v>30</v>
      </c>
      <c r="P40" s="208">
        <v>0</v>
      </c>
      <c r="Q40" s="208" t="s">
        <v>30</v>
      </c>
      <c r="R40" s="209" t="s">
        <v>155</v>
      </c>
    </row>
    <row r="41" spans="1:18">
      <c r="A41" s="234" t="s">
        <v>179</v>
      </c>
      <c r="B41" s="235" t="s">
        <v>180</v>
      </c>
      <c r="C41" s="115" t="s">
        <v>144</v>
      </c>
      <c r="D41" s="220">
        <v>34.35</v>
      </c>
      <c r="E41" s="221">
        <v>16</v>
      </c>
      <c r="F41" s="222">
        <v>1</v>
      </c>
      <c r="G41" s="204">
        <f t="shared" si="0"/>
        <v>34.35</v>
      </c>
      <c r="H41" s="223" t="s">
        <v>30</v>
      </c>
      <c r="I41" s="204">
        <f t="shared" si="1"/>
        <v>0</v>
      </c>
      <c r="J41" s="205" t="s">
        <v>31</v>
      </c>
      <c r="K41" s="206">
        <v>0</v>
      </c>
      <c r="L41" s="205" t="s">
        <v>30</v>
      </c>
      <c r="M41" s="208" t="s">
        <v>30</v>
      </c>
      <c r="N41" s="208" t="s">
        <v>30</v>
      </c>
      <c r="O41" s="208" t="s">
        <v>30</v>
      </c>
      <c r="P41" s="239">
        <v>34.4</v>
      </c>
      <c r="Q41" s="207">
        <v>47040</v>
      </c>
      <c r="R41" s="209"/>
    </row>
    <row r="42" spans="1:18">
      <c r="A42" s="3" t="s">
        <v>181</v>
      </c>
      <c r="B42" s="240" t="s">
        <v>180</v>
      </c>
      <c r="C42" s="115" t="s">
        <v>144</v>
      </c>
      <c r="D42" s="91">
        <v>48</v>
      </c>
      <c r="E42" s="92">
        <v>32</v>
      </c>
      <c r="F42" s="203">
        <v>1</v>
      </c>
      <c r="G42" s="204">
        <f t="shared" si="0"/>
        <v>48</v>
      </c>
      <c r="H42" s="205" t="s">
        <v>30</v>
      </c>
      <c r="I42" s="204">
        <f t="shared" si="1"/>
        <v>0</v>
      </c>
      <c r="J42" s="205" t="s">
        <v>31</v>
      </c>
      <c r="K42" s="206">
        <v>0</v>
      </c>
      <c r="L42" s="205" t="s">
        <v>30</v>
      </c>
      <c r="M42" s="208" t="s">
        <v>30</v>
      </c>
      <c r="N42" s="208" t="s">
        <v>30</v>
      </c>
      <c r="O42" s="208" t="s">
        <v>30</v>
      </c>
      <c r="P42" s="239">
        <v>48</v>
      </c>
      <c r="Q42" s="207">
        <v>44635</v>
      </c>
      <c r="R42" s="209"/>
    </row>
    <row r="43" spans="1:18">
      <c r="A43" s="88" t="s">
        <v>182</v>
      </c>
      <c r="B43" s="240" t="s">
        <v>180</v>
      </c>
      <c r="C43" s="115" t="s">
        <v>144</v>
      </c>
      <c r="D43" s="91">
        <v>57</v>
      </c>
      <c r="E43" s="92">
        <v>19</v>
      </c>
      <c r="F43" s="203">
        <v>0.47499999999999998</v>
      </c>
      <c r="G43" s="204">
        <f>F43*D43</f>
        <v>27.074999999999999</v>
      </c>
      <c r="H43" s="205" t="s">
        <v>183</v>
      </c>
      <c r="I43" s="204">
        <f>D43-G43</f>
        <v>29.925000000000001</v>
      </c>
      <c r="J43" s="205" t="s">
        <v>184</v>
      </c>
      <c r="K43" s="206">
        <v>0</v>
      </c>
      <c r="L43" s="205" t="s">
        <v>30</v>
      </c>
      <c r="M43" s="208" t="s">
        <v>30</v>
      </c>
      <c r="N43" s="208" t="s">
        <v>30</v>
      </c>
      <c r="O43" s="208" t="s">
        <v>30</v>
      </c>
      <c r="P43" s="239">
        <v>27.9</v>
      </c>
      <c r="Q43" s="207">
        <v>44805</v>
      </c>
      <c r="R43" s="209"/>
    </row>
    <row r="44" spans="1:18">
      <c r="A44" s="88" t="s">
        <v>185</v>
      </c>
      <c r="B44" s="240" t="s">
        <v>180</v>
      </c>
      <c r="C44" s="115" t="s">
        <v>144</v>
      </c>
      <c r="D44" s="91">
        <v>41.4</v>
      </c>
      <c r="E44" s="92">
        <v>18</v>
      </c>
      <c r="F44" s="203">
        <v>1</v>
      </c>
      <c r="G44" s="204">
        <f t="shared" si="0"/>
        <v>41.4</v>
      </c>
      <c r="H44" s="205" t="s">
        <v>30</v>
      </c>
      <c r="I44" s="204">
        <f t="shared" si="1"/>
        <v>0</v>
      </c>
      <c r="J44" s="205" t="s">
        <v>31</v>
      </c>
      <c r="K44" s="206">
        <v>0</v>
      </c>
      <c r="L44" s="205" t="s">
        <v>30</v>
      </c>
      <c r="M44" s="208" t="s">
        <v>30</v>
      </c>
      <c r="N44" s="208" t="s">
        <v>30</v>
      </c>
      <c r="O44" s="208" t="s">
        <v>30</v>
      </c>
      <c r="P44" s="239">
        <v>41.2</v>
      </c>
      <c r="Q44" s="207">
        <v>45231</v>
      </c>
      <c r="R44" s="209"/>
    </row>
    <row r="45" spans="1:18">
      <c r="A45" s="88" t="s">
        <v>186</v>
      </c>
      <c r="B45" s="240" t="s">
        <v>180</v>
      </c>
      <c r="C45" s="115" t="s">
        <v>144</v>
      </c>
      <c r="D45" s="91">
        <v>6</v>
      </c>
      <c r="E45" s="92">
        <v>4</v>
      </c>
      <c r="F45" s="203">
        <v>1</v>
      </c>
      <c r="G45" s="204">
        <f t="shared" si="0"/>
        <v>6</v>
      </c>
      <c r="H45" s="205" t="s">
        <v>30</v>
      </c>
      <c r="I45" s="204">
        <f t="shared" si="1"/>
        <v>0</v>
      </c>
      <c r="J45" s="205" t="s">
        <v>31</v>
      </c>
      <c r="K45" s="206">
        <v>0</v>
      </c>
      <c r="L45" s="205" t="s">
        <v>30</v>
      </c>
      <c r="M45" s="208" t="s">
        <v>30</v>
      </c>
      <c r="N45" s="208" t="s">
        <v>30</v>
      </c>
      <c r="O45" s="208" t="s">
        <v>30</v>
      </c>
      <c r="P45" s="239"/>
      <c r="Q45" s="207"/>
      <c r="R45" s="209"/>
    </row>
    <row r="46" spans="1:18">
      <c r="A46" s="241" t="s">
        <v>187</v>
      </c>
      <c r="B46" s="224" t="s">
        <v>180</v>
      </c>
      <c r="C46" s="115" t="s">
        <v>144</v>
      </c>
      <c r="D46" s="89">
        <v>3</v>
      </c>
      <c r="E46" s="90">
        <v>2</v>
      </c>
      <c r="F46" s="225">
        <v>1</v>
      </c>
      <c r="G46" s="204">
        <f t="shared" si="0"/>
        <v>3</v>
      </c>
      <c r="H46" s="226" t="s">
        <v>30</v>
      </c>
      <c r="I46" s="204">
        <f t="shared" si="1"/>
        <v>0</v>
      </c>
      <c r="J46" s="205" t="s">
        <v>31</v>
      </c>
      <c r="K46" s="206">
        <v>0</v>
      </c>
      <c r="L46" s="205" t="s">
        <v>30</v>
      </c>
      <c r="M46" s="208" t="s">
        <v>30</v>
      </c>
      <c r="N46" s="208" t="s">
        <v>30</v>
      </c>
      <c r="O46" s="208" t="s">
        <v>30</v>
      </c>
      <c r="P46" s="239"/>
      <c r="Q46" s="207"/>
      <c r="R46" s="209"/>
    </row>
    <row r="47" spans="1:18">
      <c r="A47" s="88" t="s">
        <v>188</v>
      </c>
      <c r="B47" s="240" t="s">
        <v>180</v>
      </c>
      <c r="C47" s="115" t="s">
        <v>144</v>
      </c>
      <c r="D47" s="91">
        <v>11.88</v>
      </c>
      <c r="E47" s="92">
        <v>18</v>
      </c>
      <c r="F47" s="203">
        <v>1</v>
      </c>
      <c r="G47" s="204">
        <f t="shared" si="0"/>
        <v>11.88</v>
      </c>
      <c r="H47" s="205" t="s">
        <v>30</v>
      </c>
      <c r="I47" s="204">
        <f t="shared" si="1"/>
        <v>0</v>
      </c>
      <c r="J47" s="205" t="s">
        <v>31</v>
      </c>
      <c r="K47" s="206">
        <v>0</v>
      </c>
      <c r="L47" s="205" t="s">
        <v>30</v>
      </c>
      <c r="M47" s="208" t="s">
        <v>30</v>
      </c>
      <c r="N47" s="208" t="s">
        <v>30</v>
      </c>
      <c r="O47" s="208" t="s">
        <v>30</v>
      </c>
      <c r="P47" s="239"/>
      <c r="Q47" s="207"/>
      <c r="R47" s="209"/>
    </row>
    <row r="48" spans="1:18">
      <c r="A48" s="88" t="s">
        <v>189</v>
      </c>
      <c r="B48" s="240" t="s">
        <v>180</v>
      </c>
      <c r="C48" s="115" t="s">
        <v>144</v>
      </c>
      <c r="D48" s="91">
        <v>18.399999999999999</v>
      </c>
      <c r="E48" s="92">
        <v>8</v>
      </c>
      <c r="F48" s="203">
        <v>1</v>
      </c>
      <c r="G48" s="204">
        <f t="shared" si="0"/>
        <v>18.399999999999999</v>
      </c>
      <c r="H48" s="205" t="s">
        <v>30</v>
      </c>
      <c r="I48" s="204">
        <f t="shared" si="1"/>
        <v>0</v>
      </c>
      <c r="J48" s="205" t="s">
        <v>31</v>
      </c>
      <c r="K48" s="206">
        <v>0</v>
      </c>
      <c r="L48" s="205" t="s">
        <v>30</v>
      </c>
      <c r="M48" s="208" t="s">
        <v>30</v>
      </c>
      <c r="N48" s="208" t="s">
        <v>30</v>
      </c>
      <c r="O48" s="208" t="s">
        <v>30</v>
      </c>
      <c r="P48" s="239">
        <v>18.899999999999999</v>
      </c>
      <c r="Q48" s="207">
        <v>45566</v>
      </c>
      <c r="R48" s="209"/>
    </row>
    <row r="49" spans="1:18">
      <c r="A49" s="88" t="s">
        <v>190</v>
      </c>
      <c r="B49" s="240" t="s">
        <v>180</v>
      </c>
      <c r="C49" s="115" t="s">
        <v>144</v>
      </c>
      <c r="D49" s="91">
        <v>28.5</v>
      </c>
      <c r="E49" s="92">
        <v>19</v>
      </c>
      <c r="F49" s="203">
        <v>1</v>
      </c>
      <c r="G49" s="204">
        <f t="shared" si="0"/>
        <v>28.5</v>
      </c>
      <c r="H49" s="205" t="s">
        <v>30</v>
      </c>
      <c r="I49" s="204">
        <f t="shared" si="1"/>
        <v>0</v>
      </c>
      <c r="J49" s="205" t="s">
        <v>31</v>
      </c>
      <c r="K49" s="206">
        <v>0</v>
      </c>
      <c r="L49" s="205" t="s">
        <v>30</v>
      </c>
      <c r="M49" s="208" t="s">
        <v>30</v>
      </c>
      <c r="N49" s="208" t="s">
        <v>30</v>
      </c>
      <c r="O49" s="208" t="s">
        <v>30</v>
      </c>
      <c r="P49" s="239">
        <v>28.5</v>
      </c>
      <c r="Q49" s="207">
        <v>45715</v>
      </c>
      <c r="R49" s="209"/>
    </row>
    <row r="50" spans="1:18">
      <c r="A50" s="88" t="s">
        <v>191</v>
      </c>
      <c r="B50" s="240" t="s">
        <v>180</v>
      </c>
      <c r="C50" s="115" t="s">
        <v>144</v>
      </c>
      <c r="D50" s="91">
        <v>11.05</v>
      </c>
      <c r="E50" s="92">
        <v>13</v>
      </c>
      <c r="F50" s="203">
        <v>1</v>
      </c>
      <c r="G50" s="204">
        <f t="shared" si="0"/>
        <v>11.05</v>
      </c>
      <c r="H50" s="205" t="s">
        <v>30</v>
      </c>
      <c r="I50" s="204">
        <f t="shared" si="1"/>
        <v>0</v>
      </c>
      <c r="J50" s="205" t="s">
        <v>31</v>
      </c>
      <c r="K50" s="206">
        <v>0</v>
      </c>
      <c r="L50" s="205" t="s">
        <v>30</v>
      </c>
      <c r="M50" s="208" t="s">
        <v>30</v>
      </c>
      <c r="N50" s="208" t="s">
        <v>30</v>
      </c>
      <c r="O50" s="208" t="s">
        <v>30</v>
      </c>
      <c r="P50" s="239">
        <v>11</v>
      </c>
      <c r="Q50" s="207">
        <v>45864</v>
      </c>
      <c r="R50" s="209"/>
    </row>
    <row r="51" spans="1:18">
      <c r="A51" s="242" t="s">
        <v>192</v>
      </c>
      <c r="B51" s="235" t="s">
        <v>180</v>
      </c>
      <c r="C51" s="115" t="s">
        <v>144</v>
      </c>
      <c r="D51" s="220">
        <v>66</v>
      </c>
      <c r="E51" s="221">
        <v>22</v>
      </c>
      <c r="F51" s="222">
        <v>1</v>
      </c>
      <c r="G51" s="204">
        <f t="shared" si="0"/>
        <v>66</v>
      </c>
      <c r="H51" s="223" t="s">
        <v>30</v>
      </c>
      <c r="I51" s="204">
        <f t="shared" si="1"/>
        <v>0</v>
      </c>
      <c r="J51" s="205" t="s">
        <v>31</v>
      </c>
      <c r="K51" s="206">
        <v>0</v>
      </c>
      <c r="L51" s="205" t="s">
        <v>30</v>
      </c>
      <c r="M51" s="208" t="s">
        <v>30</v>
      </c>
      <c r="N51" s="208" t="s">
        <v>30</v>
      </c>
      <c r="O51" s="208" t="s">
        <v>30</v>
      </c>
      <c r="P51" s="239">
        <v>64</v>
      </c>
      <c r="Q51" s="207">
        <v>48366</v>
      </c>
      <c r="R51" s="209"/>
    </row>
    <row r="52" spans="1:18">
      <c r="A52" s="88" t="s">
        <v>193</v>
      </c>
      <c r="B52" s="240" t="s">
        <v>180</v>
      </c>
      <c r="C52" s="115" t="s">
        <v>144</v>
      </c>
      <c r="D52" s="91">
        <v>108</v>
      </c>
      <c r="E52" s="92">
        <v>36</v>
      </c>
      <c r="F52" s="203">
        <v>0.25</v>
      </c>
      <c r="G52" s="204">
        <f>F52*D52</f>
        <v>27</v>
      </c>
      <c r="H52" s="205" t="s">
        <v>194</v>
      </c>
      <c r="I52" s="204">
        <f>D52-G52</f>
        <v>81</v>
      </c>
      <c r="J52" s="205" t="s">
        <v>31</v>
      </c>
      <c r="K52" s="206">
        <v>0</v>
      </c>
      <c r="L52" s="205" t="s">
        <v>30</v>
      </c>
      <c r="M52" s="208" t="s">
        <v>30</v>
      </c>
      <c r="N52" s="208" t="s">
        <v>30</v>
      </c>
      <c r="O52" s="208" t="s">
        <v>30</v>
      </c>
      <c r="P52" s="239">
        <f>105/4</f>
        <v>26.25</v>
      </c>
      <c r="Q52" s="207">
        <v>48488</v>
      </c>
      <c r="R52" s="209"/>
    </row>
    <row r="53" spans="1:18">
      <c r="A53" s="88" t="s">
        <v>195</v>
      </c>
      <c r="B53" s="240" t="s">
        <v>180</v>
      </c>
      <c r="C53" s="115" t="s">
        <v>144</v>
      </c>
      <c r="D53" s="91">
        <v>15</v>
      </c>
      <c r="E53" s="92">
        <v>10</v>
      </c>
      <c r="F53" s="203">
        <v>1</v>
      </c>
      <c r="G53" s="204">
        <f t="shared" si="0"/>
        <v>15</v>
      </c>
      <c r="H53" s="205" t="s">
        <v>30</v>
      </c>
      <c r="I53" s="204">
        <f t="shared" si="1"/>
        <v>0</v>
      </c>
      <c r="J53" s="205" t="s">
        <v>31</v>
      </c>
      <c r="K53" s="206">
        <v>0</v>
      </c>
      <c r="L53" s="205" t="s">
        <v>30</v>
      </c>
      <c r="M53" s="208" t="s">
        <v>30</v>
      </c>
      <c r="N53" s="208" t="s">
        <v>30</v>
      </c>
      <c r="O53" s="208" t="s">
        <v>30</v>
      </c>
      <c r="P53" s="239"/>
      <c r="Q53" s="207"/>
      <c r="R53" s="209"/>
    </row>
    <row r="54" spans="1:18">
      <c r="A54" s="88" t="s">
        <v>196</v>
      </c>
      <c r="B54" s="240" t="s">
        <v>180</v>
      </c>
      <c r="C54" s="115" t="s">
        <v>144</v>
      </c>
      <c r="D54" s="91">
        <v>25</v>
      </c>
      <c r="E54" s="92">
        <v>10</v>
      </c>
      <c r="F54" s="203">
        <v>1</v>
      </c>
      <c r="G54" s="204">
        <f t="shared" si="0"/>
        <v>25</v>
      </c>
      <c r="H54" s="205" t="s">
        <v>30</v>
      </c>
      <c r="I54" s="204">
        <f t="shared" si="1"/>
        <v>0</v>
      </c>
      <c r="J54" s="205" t="s">
        <v>31</v>
      </c>
      <c r="K54" s="206">
        <v>0</v>
      </c>
      <c r="L54" s="205" t="s">
        <v>30</v>
      </c>
      <c r="M54" s="208" t="s">
        <v>30</v>
      </c>
      <c r="N54" s="208" t="s">
        <v>30</v>
      </c>
      <c r="O54" s="208" t="s">
        <v>30</v>
      </c>
      <c r="P54" s="239"/>
      <c r="Q54" s="207"/>
      <c r="R54" s="209"/>
    </row>
    <row r="55" spans="1:18">
      <c r="A55" s="88" t="s">
        <v>197</v>
      </c>
      <c r="B55" s="240" t="s">
        <v>180</v>
      </c>
      <c r="C55" s="115" t="s">
        <v>144</v>
      </c>
      <c r="D55" s="91">
        <v>6</v>
      </c>
      <c r="E55" s="92">
        <v>4</v>
      </c>
      <c r="F55" s="203">
        <v>1</v>
      </c>
      <c r="G55" s="204">
        <f t="shared" si="0"/>
        <v>6</v>
      </c>
      <c r="H55" s="205" t="s">
        <v>30</v>
      </c>
      <c r="I55" s="204">
        <f t="shared" si="1"/>
        <v>0</v>
      </c>
      <c r="J55" s="205" t="s">
        <v>31</v>
      </c>
      <c r="K55" s="206">
        <v>0</v>
      </c>
      <c r="L55" s="205" t="s">
        <v>30</v>
      </c>
      <c r="M55" s="208" t="s">
        <v>30</v>
      </c>
      <c r="N55" s="208" t="s">
        <v>30</v>
      </c>
      <c r="O55" s="208" t="s">
        <v>30</v>
      </c>
      <c r="P55" s="239">
        <v>6</v>
      </c>
      <c r="Q55" s="207">
        <v>45383</v>
      </c>
      <c r="R55" s="209"/>
    </row>
    <row r="56" spans="1:18">
      <c r="A56" s="88" t="s">
        <v>198</v>
      </c>
      <c r="B56" s="240" t="s">
        <v>180</v>
      </c>
      <c r="C56" s="115" t="s">
        <v>144</v>
      </c>
      <c r="D56" s="91">
        <v>20.7</v>
      </c>
      <c r="E56" s="92">
        <v>9</v>
      </c>
      <c r="F56" s="203">
        <v>1</v>
      </c>
      <c r="G56" s="204">
        <f t="shared" si="0"/>
        <v>20.7</v>
      </c>
      <c r="H56" s="205" t="s">
        <v>30</v>
      </c>
      <c r="I56" s="204">
        <f t="shared" si="1"/>
        <v>0</v>
      </c>
      <c r="J56" s="205" t="s">
        <v>31</v>
      </c>
      <c r="K56" s="206">
        <v>0</v>
      </c>
      <c r="L56" s="205" t="s">
        <v>30</v>
      </c>
      <c r="M56" s="208" t="s">
        <v>30</v>
      </c>
      <c r="N56" s="208" t="s">
        <v>30</v>
      </c>
      <c r="O56" s="208" t="s">
        <v>30</v>
      </c>
      <c r="P56" s="239">
        <v>20.7</v>
      </c>
      <c r="Q56" s="207">
        <v>48579</v>
      </c>
      <c r="R56" s="209"/>
    </row>
    <row r="57" spans="1:18">
      <c r="A57" s="88" t="s">
        <v>199</v>
      </c>
      <c r="B57" s="240" t="s">
        <v>180</v>
      </c>
      <c r="C57" s="115" t="s">
        <v>144</v>
      </c>
      <c r="D57" s="91">
        <v>72.400000000000006</v>
      </c>
      <c r="E57" s="92">
        <v>38</v>
      </c>
      <c r="F57" s="203">
        <v>1</v>
      </c>
      <c r="G57" s="204">
        <f t="shared" si="0"/>
        <v>72.400000000000006</v>
      </c>
      <c r="H57" s="205" t="s">
        <v>30</v>
      </c>
      <c r="I57" s="204">
        <f t="shared" si="1"/>
        <v>0</v>
      </c>
      <c r="J57" s="205" t="s">
        <v>31</v>
      </c>
      <c r="K57" s="206">
        <v>0</v>
      </c>
      <c r="L57" s="205" t="s">
        <v>30</v>
      </c>
      <c r="M57" s="208" t="s">
        <v>30</v>
      </c>
      <c r="N57" s="208" t="s">
        <v>30</v>
      </c>
      <c r="O57" s="208" t="s">
        <v>30</v>
      </c>
      <c r="P57" s="239"/>
      <c r="Q57" s="207"/>
      <c r="R57" s="209"/>
    </row>
    <row r="58" spans="1:18">
      <c r="A58" s="88" t="s">
        <v>200</v>
      </c>
      <c r="B58" s="240" t="s">
        <v>180</v>
      </c>
      <c r="C58" s="115" t="s">
        <v>144</v>
      </c>
      <c r="D58" s="91">
        <v>6.9</v>
      </c>
      <c r="E58" s="92">
        <v>3</v>
      </c>
      <c r="F58" s="203">
        <v>1</v>
      </c>
      <c r="G58" s="204">
        <f t="shared" si="0"/>
        <v>6.9</v>
      </c>
      <c r="H58" s="205" t="s">
        <v>30</v>
      </c>
      <c r="I58" s="204">
        <f t="shared" si="1"/>
        <v>0</v>
      </c>
      <c r="J58" s="205" t="s">
        <v>31</v>
      </c>
      <c r="K58" s="206">
        <v>0</v>
      </c>
      <c r="L58" s="205" t="s">
        <v>30</v>
      </c>
      <c r="M58" s="208" t="s">
        <v>30</v>
      </c>
      <c r="N58" s="208" t="s">
        <v>30</v>
      </c>
      <c r="O58" s="208" t="s">
        <v>30</v>
      </c>
      <c r="P58" s="239">
        <v>6.9</v>
      </c>
      <c r="Q58" s="207">
        <v>45717</v>
      </c>
      <c r="R58" s="209"/>
    </row>
    <row r="59" spans="1:18">
      <c r="A59" s="243" t="s">
        <v>201</v>
      </c>
      <c r="B59" s="244" t="s">
        <v>180</v>
      </c>
      <c r="C59" s="115" t="s">
        <v>144</v>
      </c>
      <c r="D59" s="211">
        <v>9.1999999999999993</v>
      </c>
      <c r="E59" s="212">
        <v>4</v>
      </c>
      <c r="F59" s="213">
        <v>1</v>
      </c>
      <c r="G59" s="204">
        <f t="shared" si="0"/>
        <v>9.1999999999999993</v>
      </c>
      <c r="H59" s="214" t="s">
        <v>30</v>
      </c>
      <c r="I59" s="204">
        <f t="shared" si="1"/>
        <v>0</v>
      </c>
      <c r="J59" s="205" t="s">
        <v>31</v>
      </c>
      <c r="K59" s="206">
        <v>0</v>
      </c>
      <c r="L59" s="205" t="s">
        <v>30</v>
      </c>
      <c r="M59" s="208" t="s">
        <v>30</v>
      </c>
      <c r="N59" s="208" t="s">
        <v>30</v>
      </c>
      <c r="O59" s="208" t="s">
        <v>30</v>
      </c>
      <c r="P59" s="239">
        <v>9.1999999999999993</v>
      </c>
      <c r="Q59" s="207">
        <v>45717</v>
      </c>
      <c r="R59" s="209"/>
    </row>
    <row r="60" spans="1:18">
      <c r="A60" s="88" t="s">
        <v>202</v>
      </c>
      <c r="B60" s="240" t="s">
        <v>180</v>
      </c>
      <c r="C60" s="115" t="s">
        <v>144</v>
      </c>
      <c r="D60" s="91">
        <v>32.450000000000003</v>
      </c>
      <c r="E60" s="92">
        <v>23</v>
      </c>
      <c r="F60" s="203">
        <v>0.49</v>
      </c>
      <c r="G60" s="204">
        <f>F60*D60</f>
        <v>15.900500000000001</v>
      </c>
      <c r="H60" s="205" t="s">
        <v>203</v>
      </c>
      <c r="I60" s="204">
        <f>D60-G60</f>
        <v>16.549500000000002</v>
      </c>
      <c r="J60" s="205" t="s">
        <v>184</v>
      </c>
      <c r="K60" s="206">
        <v>0</v>
      </c>
      <c r="L60" s="205" t="s">
        <v>30</v>
      </c>
      <c r="M60" s="208" t="s">
        <v>30</v>
      </c>
      <c r="N60" s="208" t="s">
        <v>30</v>
      </c>
      <c r="O60" s="208" t="s">
        <v>30</v>
      </c>
      <c r="P60" s="239">
        <f>G60</f>
        <v>15.900500000000001</v>
      </c>
      <c r="Q60" s="207">
        <v>44805</v>
      </c>
      <c r="R60" s="209"/>
    </row>
    <row r="61" spans="1:18">
      <c r="A61" s="88" t="s">
        <v>204</v>
      </c>
      <c r="B61" s="240" t="s">
        <v>180</v>
      </c>
      <c r="C61" s="115" t="s">
        <v>144</v>
      </c>
      <c r="D61" s="91">
        <v>7.5</v>
      </c>
      <c r="E61" s="92">
        <v>5</v>
      </c>
      <c r="F61" s="203">
        <v>1</v>
      </c>
      <c r="G61" s="204">
        <f t="shared" si="0"/>
        <v>7.5</v>
      </c>
      <c r="H61" s="205" t="s">
        <v>30</v>
      </c>
      <c r="I61" s="204">
        <f t="shared" si="1"/>
        <v>0</v>
      </c>
      <c r="J61" s="205" t="s">
        <v>31</v>
      </c>
      <c r="K61" s="206">
        <v>0</v>
      </c>
      <c r="L61" s="205" t="s">
        <v>30</v>
      </c>
      <c r="M61" s="208" t="s">
        <v>30</v>
      </c>
      <c r="N61" s="208" t="s">
        <v>30</v>
      </c>
      <c r="O61" s="208" t="s">
        <v>30</v>
      </c>
      <c r="P61" s="239">
        <v>7.5</v>
      </c>
      <c r="Q61" s="207">
        <v>45042</v>
      </c>
      <c r="R61" s="209"/>
    </row>
    <row r="62" spans="1:18">
      <c r="A62" s="88" t="s">
        <v>205</v>
      </c>
      <c r="B62" s="240" t="s">
        <v>180</v>
      </c>
      <c r="C62" s="115" t="s">
        <v>144</v>
      </c>
      <c r="D62" s="91">
        <v>12.5</v>
      </c>
      <c r="E62" s="92">
        <v>5</v>
      </c>
      <c r="F62" s="203">
        <v>1</v>
      </c>
      <c r="G62" s="204">
        <f t="shared" si="0"/>
        <v>12.5</v>
      </c>
      <c r="H62" s="205" t="s">
        <v>30</v>
      </c>
      <c r="I62" s="204">
        <f t="shared" si="1"/>
        <v>0</v>
      </c>
      <c r="J62" s="205" t="s">
        <v>31</v>
      </c>
      <c r="K62" s="206">
        <v>0</v>
      </c>
      <c r="L62" s="205" t="s">
        <v>30</v>
      </c>
      <c r="M62" s="208" t="s">
        <v>30</v>
      </c>
      <c r="N62" s="208" t="s">
        <v>30</v>
      </c>
      <c r="O62" s="208" t="s">
        <v>30</v>
      </c>
      <c r="P62" s="239">
        <v>12.5</v>
      </c>
      <c r="Q62" s="207">
        <v>46204</v>
      </c>
      <c r="R62" s="209"/>
    </row>
    <row r="63" spans="1:18">
      <c r="A63" s="88" t="s">
        <v>206</v>
      </c>
      <c r="B63" s="240" t="s">
        <v>180</v>
      </c>
      <c r="C63" s="115" t="s">
        <v>144</v>
      </c>
      <c r="D63" s="91">
        <v>27</v>
      </c>
      <c r="E63" s="92">
        <v>18</v>
      </c>
      <c r="F63" s="203">
        <v>1</v>
      </c>
      <c r="G63" s="204">
        <f t="shared" si="0"/>
        <v>27</v>
      </c>
      <c r="H63" s="205" t="s">
        <v>30</v>
      </c>
      <c r="I63" s="204">
        <f t="shared" si="1"/>
        <v>0</v>
      </c>
      <c r="J63" s="205" t="s">
        <v>31</v>
      </c>
      <c r="K63" s="206">
        <v>0</v>
      </c>
      <c r="L63" s="205" t="s">
        <v>30</v>
      </c>
      <c r="M63" s="208" t="s">
        <v>30</v>
      </c>
      <c r="N63" s="208" t="s">
        <v>30</v>
      </c>
      <c r="O63" s="208" t="s">
        <v>30</v>
      </c>
      <c r="P63" s="239">
        <v>27</v>
      </c>
      <c r="Q63" s="207">
        <v>44531</v>
      </c>
      <c r="R63" s="209"/>
    </row>
    <row r="64" spans="1:18">
      <c r="A64" s="3" t="s">
        <v>207</v>
      </c>
      <c r="B64" s="240" t="s">
        <v>180</v>
      </c>
      <c r="C64" s="115" t="s">
        <v>144</v>
      </c>
      <c r="D64" s="91">
        <v>7.5</v>
      </c>
      <c r="E64" s="92">
        <v>5</v>
      </c>
      <c r="F64" s="203">
        <v>1</v>
      </c>
      <c r="G64" s="204">
        <f t="shared" si="0"/>
        <v>7.5</v>
      </c>
      <c r="H64" s="205" t="s">
        <v>30</v>
      </c>
      <c r="I64" s="204">
        <f t="shared" si="1"/>
        <v>0</v>
      </c>
      <c r="J64" s="205" t="s">
        <v>31</v>
      </c>
      <c r="K64" s="206">
        <v>0</v>
      </c>
      <c r="L64" s="205" t="s">
        <v>30</v>
      </c>
      <c r="M64" s="208" t="s">
        <v>30</v>
      </c>
      <c r="N64" s="208" t="s">
        <v>30</v>
      </c>
      <c r="O64" s="208" t="s">
        <v>30</v>
      </c>
      <c r="P64" s="239">
        <v>7.5</v>
      </c>
      <c r="Q64" s="207">
        <v>44652</v>
      </c>
      <c r="R64" s="209"/>
    </row>
    <row r="65" spans="1:18">
      <c r="A65" s="3" t="s">
        <v>208</v>
      </c>
      <c r="B65" s="240" t="s">
        <v>180</v>
      </c>
      <c r="C65" s="115" t="s">
        <v>144</v>
      </c>
      <c r="D65" s="91">
        <v>19.5</v>
      </c>
      <c r="E65" s="92">
        <v>13</v>
      </c>
      <c r="F65" s="203">
        <v>1</v>
      </c>
      <c r="G65" s="204">
        <f t="shared" si="0"/>
        <v>19.5</v>
      </c>
      <c r="H65" s="205" t="s">
        <v>30</v>
      </c>
      <c r="I65" s="204">
        <f t="shared" si="1"/>
        <v>0</v>
      </c>
      <c r="J65" s="205" t="s">
        <v>31</v>
      </c>
      <c r="K65" s="206">
        <v>0</v>
      </c>
      <c r="L65" s="205" t="s">
        <v>30</v>
      </c>
      <c r="M65" s="208" t="s">
        <v>30</v>
      </c>
      <c r="N65" s="208" t="s">
        <v>30</v>
      </c>
      <c r="O65" s="208" t="s">
        <v>30</v>
      </c>
      <c r="P65" s="239">
        <v>19.5</v>
      </c>
      <c r="Q65" s="207">
        <v>45051</v>
      </c>
      <c r="R65" s="209"/>
    </row>
    <row r="66" spans="1:18">
      <c r="A66" s="7" t="s">
        <v>209</v>
      </c>
      <c r="B66" s="210" t="s">
        <v>21</v>
      </c>
      <c r="C66" s="245" t="s">
        <v>210</v>
      </c>
      <c r="D66" s="93">
        <v>588</v>
      </c>
      <c r="E66" s="94">
        <v>84</v>
      </c>
      <c r="F66" s="246">
        <v>0.4</v>
      </c>
      <c r="G66" s="247">
        <f>F66*D66</f>
        <v>235.20000000000002</v>
      </c>
      <c r="H66" s="248" t="s">
        <v>211</v>
      </c>
      <c r="I66" s="249">
        <f>D66-G66</f>
        <v>352.79999999999995</v>
      </c>
      <c r="J66" s="248" t="s">
        <v>31</v>
      </c>
      <c r="K66" s="206">
        <v>0</v>
      </c>
      <c r="L66" s="205" t="s">
        <v>30</v>
      </c>
      <c r="M66" s="239">
        <f>+G66</f>
        <v>235.20000000000002</v>
      </c>
      <c r="N66" s="250" t="s">
        <v>212</v>
      </c>
      <c r="O66" s="251">
        <v>49064</v>
      </c>
      <c r="P66" s="208"/>
      <c r="Q66" s="208"/>
      <c r="R66" s="209" t="s">
        <v>213</v>
      </c>
    </row>
    <row r="67" spans="1:18">
      <c r="A67" s="3" t="s">
        <v>214</v>
      </c>
      <c r="B67" s="240" t="s">
        <v>215</v>
      </c>
      <c r="C67" s="252" t="s">
        <v>216</v>
      </c>
      <c r="D67" s="91">
        <v>504</v>
      </c>
      <c r="E67" s="94">
        <v>140</v>
      </c>
      <c r="F67" s="203">
        <v>0.5</v>
      </c>
      <c r="G67" s="204">
        <v>252</v>
      </c>
      <c r="H67" s="205" t="s">
        <v>217</v>
      </c>
      <c r="I67" s="204">
        <v>252</v>
      </c>
      <c r="J67" s="205" t="s">
        <v>31</v>
      </c>
      <c r="K67" s="206">
        <f>+G67</f>
        <v>252</v>
      </c>
      <c r="L67" s="227" t="s">
        <v>218</v>
      </c>
      <c r="M67" s="250"/>
      <c r="N67" s="250"/>
      <c r="O67" s="250"/>
      <c r="P67" s="208"/>
      <c r="Q67" s="208"/>
      <c r="R67" s="209" t="s">
        <v>219</v>
      </c>
    </row>
    <row r="68" spans="1:18" s="260" customFormat="1">
      <c r="A68" s="253" t="s">
        <v>220</v>
      </c>
      <c r="B68" s="253"/>
      <c r="C68" s="254"/>
      <c r="D68" s="255">
        <f>SUM(D14:D67)</f>
        <v>3578.0299999999997</v>
      </c>
      <c r="E68" s="255"/>
      <c r="F68" s="255"/>
      <c r="G68" s="256">
        <f>SUM(G14:G67)</f>
        <v>2424.5246500000003</v>
      </c>
      <c r="H68" s="255"/>
      <c r="I68" s="256">
        <f>SUM(I14:I67)</f>
        <v>1153.5053499999999</v>
      </c>
      <c r="J68" s="257"/>
      <c r="K68" s="258">
        <f>SUM(K14:K67)</f>
        <v>1621.5691499999998</v>
      </c>
      <c r="L68" s="258"/>
      <c r="M68" s="258">
        <f t="shared" ref="M68:P68" si="4">SUM(M14:M67)</f>
        <v>235.20000000000002</v>
      </c>
      <c r="N68" s="258"/>
      <c r="O68" s="258"/>
      <c r="P68" s="258">
        <f t="shared" si="4"/>
        <v>432.85049999999995</v>
      </c>
      <c r="Q68" s="259"/>
      <c r="R68" s="259"/>
    </row>
    <row r="69" spans="1:18">
      <c r="D69" s="262"/>
    </row>
    <row r="70" spans="1:18">
      <c r="A70" s="263" t="s">
        <v>221</v>
      </c>
    </row>
    <row r="71" spans="1:18">
      <c r="A71" s="6" t="s">
        <v>222</v>
      </c>
      <c r="B71" s="234" t="s">
        <v>171</v>
      </c>
      <c r="C71" s="234" t="s">
        <v>210</v>
      </c>
      <c r="D71" s="4">
        <v>367.2</v>
      </c>
      <c r="E71" s="5">
        <v>102</v>
      </c>
      <c r="F71" s="203">
        <v>0.251</v>
      </c>
      <c r="G71" s="265">
        <f>F71*D71</f>
        <v>92.167199999999994</v>
      </c>
      <c r="H71" s="266" t="s">
        <v>223</v>
      </c>
      <c r="I71" s="267">
        <f>D71-G71</f>
        <v>275.03280000000001</v>
      </c>
      <c r="J71" s="268" t="s">
        <v>184</v>
      </c>
      <c r="K71" s="209"/>
      <c r="L71" s="250" t="s">
        <v>224</v>
      </c>
      <c r="M71" s="269"/>
      <c r="N71" s="269"/>
      <c r="O71" s="269"/>
      <c r="P71" s="209"/>
      <c r="Q71" s="209"/>
      <c r="R71" s="209" t="s">
        <v>225</v>
      </c>
    </row>
    <row r="72" spans="1:18" s="217" customFormat="1">
      <c r="A72" s="2" t="s">
        <v>226</v>
      </c>
      <c r="B72" s="2" t="s">
        <v>173</v>
      </c>
      <c r="C72" s="7" t="s">
        <v>144</v>
      </c>
      <c r="D72" s="270">
        <v>18.8</v>
      </c>
      <c r="E72" s="271">
        <v>8</v>
      </c>
      <c r="F72" s="203">
        <v>1</v>
      </c>
      <c r="G72" s="265">
        <v>0</v>
      </c>
      <c r="H72" s="272">
        <v>1</v>
      </c>
      <c r="I72" s="267">
        <f>D72-G72</f>
        <v>18.8</v>
      </c>
      <c r="J72" s="268" t="s">
        <v>31</v>
      </c>
      <c r="K72" s="216"/>
      <c r="L72" s="215">
        <v>50087</v>
      </c>
      <c r="M72" s="216"/>
      <c r="N72" s="216"/>
      <c r="O72" s="216"/>
      <c r="P72" s="216"/>
      <c r="Q72" s="216"/>
      <c r="R72" s="216" t="s">
        <v>227</v>
      </c>
    </row>
    <row r="73" spans="1:18">
      <c r="D73" s="262"/>
      <c r="E73" s="195"/>
    </row>
    <row r="74" spans="1:18" ht="15.75">
      <c r="A74" s="87" t="s">
        <v>117</v>
      </c>
      <c r="D74" s="262"/>
    </row>
    <row r="75" spans="1:18" ht="15.75">
      <c r="A75" s="87" t="s">
        <v>118</v>
      </c>
    </row>
    <row r="76" spans="1:18" ht="15.75">
      <c r="A76" s="87"/>
    </row>
    <row r="77" spans="1:18">
      <c r="A77" s="273"/>
      <c r="C77" s="274"/>
    </row>
  </sheetData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BEDF8-675B-4569-A284-BC75968FC392}">
  <dimension ref="A2:I109"/>
  <sheetViews>
    <sheetView zoomScale="85" zoomScaleNormal="85" workbookViewId="0">
      <selection activeCell="G8" sqref="G8"/>
    </sheetView>
  </sheetViews>
  <sheetFormatPr defaultColWidth="8.7109375" defaultRowHeight="14.25"/>
  <cols>
    <col min="1" max="1" width="31.140625" style="186" bestFit="1" customWidth="1"/>
    <col min="2" max="2" width="19.140625" style="186" customWidth="1"/>
    <col min="3" max="3" width="31.7109375" style="186" customWidth="1"/>
    <col min="4" max="4" width="23.85546875" style="187" customWidth="1"/>
    <col min="5" max="5" width="13.42578125" style="158" customWidth="1"/>
    <col min="6" max="6" width="19.7109375" style="158" customWidth="1"/>
    <col min="7" max="7" width="44.140625" style="157" customWidth="1"/>
    <col min="8" max="16384" width="8.7109375" style="158"/>
  </cols>
  <sheetData>
    <row r="2" spans="1:9" ht="22.5" customHeight="1">
      <c r="A2" s="154" t="s">
        <v>0</v>
      </c>
      <c r="B2" s="155"/>
      <c r="C2" s="155"/>
      <c r="D2" s="156"/>
      <c r="E2" s="156"/>
      <c r="F2" s="156"/>
    </row>
    <row r="3" spans="1:9">
      <c r="A3" s="159" t="s">
        <v>1</v>
      </c>
      <c r="B3" s="159" t="s">
        <v>2</v>
      </c>
      <c r="C3" s="159"/>
      <c r="D3" s="160"/>
      <c r="E3" s="160"/>
      <c r="F3" s="160"/>
      <c r="G3" s="161"/>
    </row>
    <row r="4" spans="1:9">
      <c r="A4" s="159"/>
      <c r="B4" s="162" t="s">
        <v>3</v>
      </c>
      <c r="C4" s="162" t="s">
        <v>4</v>
      </c>
      <c r="D4" s="163" t="s">
        <v>5</v>
      </c>
      <c r="E4" s="163"/>
      <c r="F4" s="163"/>
      <c r="G4" s="161"/>
    </row>
    <row r="5" spans="1:9">
      <c r="A5" s="159" t="s">
        <v>6</v>
      </c>
      <c r="B5" s="159">
        <f>+D99</f>
        <v>1159.1980000000001</v>
      </c>
      <c r="C5" s="159"/>
      <c r="D5" s="160"/>
      <c r="E5" s="160"/>
      <c r="F5" s="160"/>
      <c r="G5" s="161"/>
    </row>
    <row r="6" spans="1:9">
      <c r="A6" s="162" t="s">
        <v>7</v>
      </c>
      <c r="B6" s="159"/>
      <c r="C6" s="159"/>
      <c r="D6" s="160"/>
      <c r="E6" s="160"/>
      <c r="F6" s="160"/>
      <c r="G6" s="161"/>
    </row>
    <row r="7" spans="1:9">
      <c r="A7" s="159" t="s">
        <v>8</v>
      </c>
      <c r="B7" s="159">
        <v>400</v>
      </c>
      <c r="C7" s="159"/>
      <c r="D7" s="160"/>
      <c r="E7" s="160"/>
      <c r="F7" s="160"/>
      <c r="G7" s="161"/>
    </row>
    <row r="8" spans="1:9">
      <c r="A8" s="159" t="s">
        <v>9</v>
      </c>
      <c r="B8" s="159">
        <f>1159-400</f>
        <v>759</v>
      </c>
      <c r="C8" s="159"/>
      <c r="D8" s="159">
        <v>650</v>
      </c>
      <c r="E8" s="160"/>
      <c r="F8" s="160"/>
      <c r="G8" s="161"/>
    </row>
    <row r="9" spans="1:9">
      <c r="A9" s="159" t="s">
        <v>10</v>
      </c>
      <c r="B9" s="159">
        <v>300</v>
      </c>
      <c r="C9" s="164">
        <v>0</v>
      </c>
      <c r="D9" s="164">
        <v>300</v>
      </c>
      <c r="E9" s="165"/>
      <c r="F9" s="165"/>
      <c r="G9" s="161"/>
    </row>
    <row r="10" spans="1:9">
      <c r="A10" s="159" t="s">
        <v>11</v>
      </c>
      <c r="B10" s="166">
        <f>+B9+B8+B7</f>
        <v>1459</v>
      </c>
      <c r="C10" s="159">
        <f>+E99</f>
        <v>502.44800000000004</v>
      </c>
      <c r="D10" s="159" t="s">
        <v>12</v>
      </c>
      <c r="E10" s="159"/>
      <c r="F10" s="159"/>
      <c r="G10" s="161"/>
    </row>
    <row r="11" spans="1:9" ht="15.75">
      <c r="A11" s="167"/>
      <c r="B11" s="167"/>
      <c r="C11" s="167"/>
      <c r="D11" s="167"/>
      <c r="E11" s="167"/>
      <c r="F11" s="167"/>
      <c r="G11" s="167"/>
    </row>
    <row r="12" spans="1:9" ht="31.5">
      <c r="A12" s="168" t="s">
        <v>13</v>
      </c>
      <c r="B12" s="169" t="s">
        <v>14</v>
      </c>
      <c r="C12" s="169" t="s">
        <v>15</v>
      </c>
      <c r="D12" s="170" t="s">
        <v>16</v>
      </c>
      <c r="E12" s="170" t="s">
        <v>17</v>
      </c>
      <c r="F12" s="171" t="s">
        <v>18</v>
      </c>
      <c r="G12" s="172" t="s">
        <v>19</v>
      </c>
    </row>
    <row r="13" spans="1:9">
      <c r="A13" s="95" t="s">
        <v>20</v>
      </c>
      <c r="B13" s="96" t="s">
        <v>21</v>
      </c>
      <c r="C13" s="96" t="s">
        <v>22</v>
      </c>
      <c r="D13" s="97">
        <v>3</v>
      </c>
      <c r="E13" s="97">
        <f>+D13</f>
        <v>3</v>
      </c>
      <c r="F13" s="98">
        <v>46477</v>
      </c>
      <c r="G13" s="99"/>
      <c r="I13" s="173"/>
    </row>
    <row r="14" spans="1:9">
      <c r="A14" s="7" t="s">
        <v>23</v>
      </c>
      <c r="B14" s="96" t="s">
        <v>21</v>
      </c>
      <c r="C14" s="100" t="s">
        <v>22</v>
      </c>
      <c r="D14" s="101">
        <v>20</v>
      </c>
      <c r="E14" s="97">
        <f>+D14</f>
        <v>20</v>
      </c>
      <c r="F14" s="98">
        <v>46477</v>
      </c>
      <c r="G14" s="102"/>
      <c r="I14" s="173"/>
    </row>
    <row r="15" spans="1:9">
      <c r="A15" s="7" t="s">
        <v>24</v>
      </c>
      <c r="B15" s="96" t="s">
        <v>21</v>
      </c>
      <c r="C15" s="100" t="s">
        <v>22</v>
      </c>
      <c r="D15" s="101">
        <v>0.16</v>
      </c>
      <c r="E15" s="97">
        <f>+D15</f>
        <v>0.16</v>
      </c>
      <c r="F15" s="98">
        <v>46477</v>
      </c>
      <c r="G15" s="102"/>
      <c r="I15" s="173"/>
    </row>
    <row r="16" spans="1:9">
      <c r="A16" s="7" t="s">
        <v>25</v>
      </c>
      <c r="B16" s="96" t="s">
        <v>21</v>
      </c>
      <c r="C16" s="100" t="s">
        <v>22</v>
      </c>
      <c r="D16" s="101">
        <v>10</v>
      </c>
      <c r="E16" s="97">
        <f>+D16</f>
        <v>10</v>
      </c>
      <c r="F16" s="98">
        <v>46477</v>
      </c>
      <c r="G16" s="102"/>
      <c r="I16" s="173"/>
    </row>
    <row r="17" spans="1:9">
      <c r="A17" s="7" t="s">
        <v>26</v>
      </c>
      <c r="B17" s="96" t="s">
        <v>21</v>
      </c>
      <c r="C17" s="100" t="s">
        <v>22</v>
      </c>
      <c r="D17" s="101">
        <v>3.2</v>
      </c>
      <c r="E17" s="97">
        <f>+D17</f>
        <v>3.2</v>
      </c>
      <c r="F17" s="98">
        <v>46477</v>
      </c>
      <c r="G17" s="102"/>
      <c r="I17" s="173"/>
    </row>
    <row r="18" spans="1:9">
      <c r="A18" s="7" t="s">
        <v>27</v>
      </c>
      <c r="B18" s="96" t="s">
        <v>21</v>
      </c>
      <c r="C18" s="100" t="s">
        <v>22</v>
      </c>
      <c r="D18" s="103">
        <v>2.1</v>
      </c>
      <c r="E18" s="103">
        <v>2.1</v>
      </c>
      <c r="F18" s="98">
        <v>46477</v>
      </c>
      <c r="G18" s="102"/>
      <c r="I18" s="173"/>
    </row>
    <row r="19" spans="1:9">
      <c r="A19" s="7" t="s">
        <v>28</v>
      </c>
      <c r="B19" s="96" t="s">
        <v>21</v>
      </c>
      <c r="C19" s="100" t="s">
        <v>22</v>
      </c>
      <c r="D19" s="101">
        <v>17</v>
      </c>
      <c r="E19" s="97">
        <f>+D19</f>
        <v>17</v>
      </c>
      <c r="F19" s="98">
        <v>46477</v>
      </c>
      <c r="G19" s="102"/>
      <c r="I19" s="173"/>
    </row>
    <row r="20" spans="1:9">
      <c r="A20" s="7" t="s">
        <v>29</v>
      </c>
      <c r="B20" s="96" t="s">
        <v>21</v>
      </c>
      <c r="C20" s="100" t="s">
        <v>22</v>
      </c>
      <c r="D20" s="101">
        <v>38</v>
      </c>
      <c r="E20" s="101">
        <v>0</v>
      </c>
      <c r="F20" s="104" t="s">
        <v>30</v>
      </c>
      <c r="G20" s="102" t="s">
        <v>31</v>
      </c>
      <c r="I20" s="173"/>
    </row>
    <row r="21" spans="1:9">
      <c r="A21" s="7" t="s">
        <v>32</v>
      </c>
      <c r="B21" s="96" t="s">
        <v>21</v>
      </c>
      <c r="C21" s="100" t="s">
        <v>22</v>
      </c>
      <c r="D21" s="101">
        <v>0.45</v>
      </c>
      <c r="E21" s="97">
        <f>+D21</f>
        <v>0.45</v>
      </c>
      <c r="F21" s="98">
        <v>46477</v>
      </c>
      <c r="G21" s="102"/>
      <c r="I21" s="173"/>
    </row>
    <row r="22" spans="1:9">
      <c r="A22" s="7" t="s">
        <v>33</v>
      </c>
      <c r="B22" s="96" t="s">
        <v>21</v>
      </c>
      <c r="C22" s="100" t="s">
        <v>22</v>
      </c>
      <c r="D22" s="103">
        <v>7.5</v>
      </c>
      <c r="E22" s="103">
        <v>7.5</v>
      </c>
      <c r="F22" s="105">
        <v>46477</v>
      </c>
      <c r="G22" s="102"/>
      <c r="I22" s="173"/>
    </row>
    <row r="23" spans="1:9">
      <c r="A23" s="7" t="s">
        <v>34</v>
      </c>
      <c r="B23" s="96" t="s">
        <v>21</v>
      </c>
      <c r="C23" s="100" t="s">
        <v>22</v>
      </c>
      <c r="D23" s="101">
        <v>69</v>
      </c>
      <c r="E23" s="97">
        <v>0</v>
      </c>
      <c r="F23" s="104" t="s">
        <v>30</v>
      </c>
      <c r="G23" s="102" t="s">
        <v>31</v>
      </c>
      <c r="I23" s="173"/>
    </row>
    <row r="24" spans="1:9">
      <c r="A24" s="7" t="s">
        <v>35</v>
      </c>
      <c r="B24" s="96" t="s">
        <v>21</v>
      </c>
      <c r="C24" s="100" t="s">
        <v>22</v>
      </c>
      <c r="D24" s="101">
        <v>18.66</v>
      </c>
      <c r="E24" s="97">
        <f>+D24</f>
        <v>18.66</v>
      </c>
      <c r="F24" s="98">
        <v>46477</v>
      </c>
      <c r="G24" s="102"/>
      <c r="I24" s="173"/>
    </row>
    <row r="25" spans="1:9">
      <c r="A25" s="7" t="s">
        <v>36</v>
      </c>
      <c r="B25" s="96" t="s">
        <v>21</v>
      </c>
      <c r="C25" s="100" t="s">
        <v>22</v>
      </c>
      <c r="D25" s="101">
        <v>20</v>
      </c>
      <c r="E25" s="97">
        <f>+D25</f>
        <v>20</v>
      </c>
      <c r="F25" s="98">
        <v>46477</v>
      </c>
      <c r="G25" s="102"/>
      <c r="I25" s="173"/>
    </row>
    <row r="26" spans="1:9">
      <c r="A26" s="7" t="s">
        <v>37</v>
      </c>
      <c r="B26" s="96" t="s">
        <v>21</v>
      </c>
      <c r="C26" s="100" t="s">
        <v>22</v>
      </c>
      <c r="D26" s="101">
        <v>3.5</v>
      </c>
      <c r="E26" s="97">
        <f>+D26</f>
        <v>3.5</v>
      </c>
      <c r="F26" s="98">
        <v>46477</v>
      </c>
      <c r="G26" s="102"/>
      <c r="I26" s="173"/>
    </row>
    <row r="27" spans="1:9">
      <c r="A27" s="7" t="s">
        <v>38</v>
      </c>
      <c r="B27" s="96" t="s">
        <v>21</v>
      </c>
      <c r="C27" s="100" t="s">
        <v>22</v>
      </c>
      <c r="D27" s="101">
        <v>8.5000000000000006E-2</v>
      </c>
      <c r="E27" s="97">
        <f>+D27</f>
        <v>8.5000000000000006E-2</v>
      </c>
      <c r="F27" s="98">
        <v>46477</v>
      </c>
      <c r="G27" s="102"/>
      <c r="I27" s="173"/>
    </row>
    <row r="28" spans="1:9">
      <c r="A28" s="106" t="s">
        <v>39</v>
      </c>
      <c r="B28" s="96" t="s">
        <v>21</v>
      </c>
      <c r="C28" s="107" t="s">
        <v>22</v>
      </c>
      <c r="D28" s="108">
        <v>34</v>
      </c>
      <c r="E28" s="101">
        <v>0</v>
      </c>
      <c r="F28" s="104" t="s">
        <v>30</v>
      </c>
      <c r="G28" s="109" t="s">
        <v>31</v>
      </c>
      <c r="I28" s="173"/>
    </row>
    <row r="29" spans="1:9">
      <c r="A29" s="7" t="s">
        <v>40</v>
      </c>
      <c r="B29" s="96" t="s">
        <v>21</v>
      </c>
      <c r="C29" s="100" t="s">
        <v>22</v>
      </c>
      <c r="D29" s="101">
        <v>7.5999999999999998E-2</v>
      </c>
      <c r="E29" s="97">
        <f t="shared" ref="E29:E43" si="0">+D29</f>
        <v>7.5999999999999998E-2</v>
      </c>
      <c r="F29" s="98">
        <v>46477</v>
      </c>
      <c r="G29" s="102"/>
      <c r="I29" s="173"/>
    </row>
    <row r="30" spans="1:9">
      <c r="A30" s="1" t="s">
        <v>41</v>
      </c>
      <c r="B30" s="96" t="s">
        <v>21</v>
      </c>
      <c r="C30" s="110" t="s">
        <v>22</v>
      </c>
      <c r="D30" s="111">
        <v>0.35</v>
      </c>
      <c r="E30" s="97">
        <f t="shared" si="0"/>
        <v>0.35</v>
      </c>
      <c r="F30" s="98">
        <v>46477</v>
      </c>
      <c r="G30" s="112"/>
      <c r="I30" s="173"/>
    </row>
    <row r="31" spans="1:9">
      <c r="A31" s="1" t="s">
        <v>42</v>
      </c>
      <c r="B31" s="96" t="s">
        <v>21</v>
      </c>
      <c r="C31" s="110" t="s">
        <v>22</v>
      </c>
      <c r="D31" s="111">
        <v>18.66</v>
      </c>
      <c r="E31" s="97">
        <f t="shared" si="0"/>
        <v>18.66</v>
      </c>
      <c r="F31" s="98">
        <v>46477</v>
      </c>
      <c r="G31" s="112"/>
      <c r="I31" s="173"/>
    </row>
    <row r="32" spans="1:9">
      <c r="A32" s="7" t="s">
        <v>43</v>
      </c>
      <c r="B32" s="96" t="s">
        <v>21</v>
      </c>
      <c r="C32" s="100" t="s">
        <v>22</v>
      </c>
      <c r="D32" s="101">
        <v>2.4</v>
      </c>
      <c r="E32" s="97">
        <f t="shared" si="0"/>
        <v>2.4</v>
      </c>
      <c r="F32" s="98">
        <v>46477</v>
      </c>
      <c r="G32" s="102"/>
      <c r="I32" s="173"/>
    </row>
    <row r="33" spans="1:9">
      <c r="A33" s="2" t="s">
        <v>44</v>
      </c>
      <c r="B33" s="96" t="s">
        <v>21</v>
      </c>
      <c r="C33" s="113" t="s">
        <v>22</v>
      </c>
      <c r="D33" s="111">
        <v>18</v>
      </c>
      <c r="E33" s="97">
        <f t="shared" si="0"/>
        <v>18</v>
      </c>
      <c r="F33" s="98">
        <v>46477</v>
      </c>
      <c r="G33" s="112"/>
      <c r="I33" s="173"/>
    </row>
    <row r="34" spans="1:9">
      <c r="A34" s="7" t="s">
        <v>45</v>
      </c>
      <c r="B34" s="96" t="s">
        <v>21</v>
      </c>
      <c r="C34" s="100" t="s">
        <v>22</v>
      </c>
      <c r="D34" s="101">
        <v>0.26</v>
      </c>
      <c r="E34" s="97">
        <f t="shared" si="0"/>
        <v>0.26</v>
      </c>
      <c r="F34" s="98">
        <v>46477</v>
      </c>
      <c r="G34" s="102"/>
      <c r="I34" s="173"/>
    </row>
    <row r="35" spans="1:9">
      <c r="A35" s="7" t="s">
        <v>46</v>
      </c>
      <c r="B35" s="96" t="s">
        <v>21</v>
      </c>
      <c r="C35" s="100" t="s">
        <v>22</v>
      </c>
      <c r="D35" s="101">
        <v>18.600000000000001</v>
      </c>
      <c r="E35" s="97">
        <f t="shared" si="0"/>
        <v>18.600000000000001</v>
      </c>
      <c r="F35" s="98">
        <v>46477</v>
      </c>
      <c r="G35" s="102"/>
      <c r="I35" s="173"/>
    </row>
    <row r="36" spans="1:9">
      <c r="A36" s="106" t="s">
        <v>47</v>
      </c>
      <c r="B36" s="96" t="s">
        <v>21</v>
      </c>
      <c r="C36" s="107" t="s">
        <v>22</v>
      </c>
      <c r="D36" s="108">
        <v>0.1</v>
      </c>
      <c r="E36" s="97">
        <f t="shared" si="0"/>
        <v>0.1</v>
      </c>
      <c r="F36" s="98">
        <v>46477</v>
      </c>
      <c r="G36" s="109"/>
      <c r="I36" s="173"/>
    </row>
    <row r="37" spans="1:9">
      <c r="A37" s="7" t="s">
        <v>48</v>
      </c>
      <c r="B37" s="96" t="s">
        <v>21</v>
      </c>
      <c r="C37" s="100" t="s">
        <v>22</v>
      </c>
      <c r="D37" s="101">
        <v>15</v>
      </c>
      <c r="E37" s="97">
        <f t="shared" si="0"/>
        <v>15</v>
      </c>
      <c r="F37" s="98">
        <v>46477</v>
      </c>
      <c r="G37" s="102"/>
      <c r="I37" s="173"/>
    </row>
    <row r="38" spans="1:9">
      <c r="A38" s="106" t="s">
        <v>49</v>
      </c>
      <c r="B38" s="96" t="s">
        <v>21</v>
      </c>
      <c r="C38" s="107" t="s">
        <v>22</v>
      </c>
      <c r="D38" s="101">
        <v>0.32</v>
      </c>
      <c r="E38" s="97">
        <f t="shared" si="0"/>
        <v>0.32</v>
      </c>
      <c r="F38" s="98">
        <v>46477</v>
      </c>
      <c r="G38" s="102"/>
      <c r="I38" s="173"/>
    </row>
    <row r="39" spans="1:9">
      <c r="A39" s="95" t="s">
        <v>50</v>
      </c>
      <c r="B39" s="96" t="s">
        <v>21</v>
      </c>
      <c r="C39" s="96" t="s">
        <v>51</v>
      </c>
      <c r="D39" s="97">
        <v>20</v>
      </c>
      <c r="E39" s="97">
        <f t="shared" si="0"/>
        <v>20</v>
      </c>
      <c r="F39" s="98">
        <v>46477</v>
      </c>
      <c r="G39" s="99"/>
      <c r="I39" s="173"/>
    </row>
    <row r="40" spans="1:9">
      <c r="A40" s="7" t="s">
        <v>52</v>
      </c>
      <c r="B40" s="96" t="s">
        <v>21</v>
      </c>
      <c r="C40" s="100" t="s">
        <v>51</v>
      </c>
      <c r="D40" s="101">
        <v>0.3</v>
      </c>
      <c r="E40" s="97">
        <f t="shared" si="0"/>
        <v>0.3</v>
      </c>
      <c r="F40" s="98">
        <v>46477</v>
      </c>
      <c r="G40" s="102"/>
      <c r="I40" s="173"/>
    </row>
    <row r="41" spans="1:9">
      <c r="A41" s="106" t="s">
        <v>53</v>
      </c>
      <c r="B41" s="96" t="s">
        <v>21</v>
      </c>
      <c r="C41" s="107" t="s">
        <v>51</v>
      </c>
      <c r="D41" s="108">
        <v>0.16</v>
      </c>
      <c r="E41" s="97">
        <f t="shared" si="0"/>
        <v>0.16</v>
      </c>
      <c r="F41" s="98">
        <v>46477</v>
      </c>
      <c r="G41" s="109"/>
      <c r="I41" s="173"/>
    </row>
    <row r="42" spans="1:9">
      <c r="A42" s="7" t="s">
        <v>54</v>
      </c>
      <c r="B42" s="96" t="s">
        <v>21</v>
      </c>
      <c r="C42" s="100" t="s">
        <v>51</v>
      </c>
      <c r="D42" s="101">
        <v>5.2</v>
      </c>
      <c r="E42" s="97">
        <f t="shared" si="0"/>
        <v>5.2</v>
      </c>
      <c r="F42" s="98">
        <v>46477</v>
      </c>
      <c r="G42" s="102"/>
      <c r="I42" s="173"/>
    </row>
    <row r="43" spans="1:9">
      <c r="A43" s="1" t="s">
        <v>55</v>
      </c>
      <c r="B43" s="96" t="s">
        <v>21</v>
      </c>
      <c r="C43" s="110" t="s">
        <v>51</v>
      </c>
      <c r="D43" s="111">
        <v>100</v>
      </c>
      <c r="E43" s="97">
        <f t="shared" si="0"/>
        <v>100</v>
      </c>
      <c r="F43" s="98">
        <v>46843</v>
      </c>
      <c r="G43" s="112"/>
      <c r="I43" s="173"/>
    </row>
    <row r="44" spans="1:9">
      <c r="A44" s="1" t="s">
        <v>56</v>
      </c>
      <c r="B44" s="96" t="s">
        <v>21</v>
      </c>
      <c r="C44" s="110" t="s">
        <v>51</v>
      </c>
      <c r="D44" s="111">
        <v>37</v>
      </c>
      <c r="E44" s="111">
        <v>0</v>
      </c>
      <c r="F44" s="104" t="s">
        <v>30</v>
      </c>
      <c r="G44" s="112" t="s">
        <v>31</v>
      </c>
      <c r="I44" s="173"/>
    </row>
    <row r="45" spans="1:9">
      <c r="A45" s="7" t="s">
        <v>57</v>
      </c>
      <c r="B45" s="96" t="s">
        <v>21</v>
      </c>
      <c r="C45" s="100" t="s">
        <v>51</v>
      </c>
      <c r="D45" s="101">
        <v>20</v>
      </c>
      <c r="E45" s="97">
        <f t="shared" ref="E45:E50" si="1">+D45</f>
        <v>20</v>
      </c>
      <c r="F45" s="98">
        <v>46477</v>
      </c>
      <c r="G45" s="102"/>
      <c r="I45" s="173"/>
    </row>
    <row r="46" spans="1:9">
      <c r="A46" s="2" t="s">
        <v>58</v>
      </c>
      <c r="B46" s="96" t="s">
        <v>21</v>
      </c>
      <c r="C46" s="113" t="s">
        <v>51</v>
      </c>
      <c r="D46" s="111">
        <v>0.23699999999999999</v>
      </c>
      <c r="E46" s="97">
        <f t="shared" si="1"/>
        <v>0.23699999999999999</v>
      </c>
      <c r="F46" s="98">
        <v>46477</v>
      </c>
      <c r="G46" s="112"/>
      <c r="I46" s="173"/>
    </row>
    <row r="47" spans="1:9">
      <c r="A47" s="7" t="s">
        <v>59</v>
      </c>
      <c r="B47" s="96" t="s">
        <v>21</v>
      </c>
      <c r="C47" s="100" t="s">
        <v>51</v>
      </c>
      <c r="D47" s="101">
        <v>3.5</v>
      </c>
      <c r="E47" s="97">
        <f t="shared" si="1"/>
        <v>3.5</v>
      </c>
      <c r="F47" s="98">
        <v>46477</v>
      </c>
      <c r="G47" s="102"/>
      <c r="I47" s="173"/>
    </row>
    <row r="48" spans="1:9">
      <c r="A48" s="7" t="s">
        <v>60</v>
      </c>
      <c r="B48" s="96" t="s">
        <v>21</v>
      </c>
      <c r="C48" s="100" t="s">
        <v>51</v>
      </c>
      <c r="D48" s="101">
        <v>15</v>
      </c>
      <c r="E48" s="97">
        <f t="shared" si="1"/>
        <v>15</v>
      </c>
      <c r="F48" s="98">
        <v>46477</v>
      </c>
      <c r="G48" s="102"/>
      <c r="I48" s="173"/>
    </row>
    <row r="49" spans="1:9">
      <c r="A49" s="106" t="s">
        <v>61</v>
      </c>
      <c r="B49" s="96" t="s">
        <v>21</v>
      </c>
      <c r="C49" s="107" t="s">
        <v>51</v>
      </c>
      <c r="D49" s="108">
        <v>0.55000000000000004</v>
      </c>
      <c r="E49" s="97">
        <f t="shared" si="1"/>
        <v>0.55000000000000004</v>
      </c>
      <c r="F49" s="98">
        <v>46477</v>
      </c>
      <c r="G49" s="109"/>
      <c r="I49" s="173"/>
    </row>
    <row r="50" spans="1:9">
      <c r="A50" s="7" t="s">
        <v>62</v>
      </c>
      <c r="B50" s="96" t="s">
        <v>21</v>
      </c>
      <c r="C50" s="100" t="s">
        <v>51</v>
      </c>
      <c r="D50" s="101">
        <v>0.75</v>
      </c>
      <c r="E50" s="97">
        <f t="shared" si="1"/>
        <v>0.75</v>
      </c>
      <c r="F50" s="98">
        <v>46477</v>
      </c>
      <c r="G50" s="102"/>
      <c r="I50" s="173"/>
    </row>
    <row r="51" spans="1:9">
      <c r="A51" s="106" t="s">
        <v>63</v>
      </c>
      <c r="B51" s="96" t="s">
        <v>21</v>
      </c>
      <c r="C51" s="107" t="s">
        <v>51</v>
      </c>
      <c r="D51" s="101">
        <v>1.95</v>
      </c>
      <c r="E51" s="101">
        <v>0</v>
      </c>
      <c r="F51" s="104" t="s">
        <v>30</v>
      </c>
      <c r="G51" s="102"/>
      <c r="I51" s="173"/>
    </row>
    <row r="52" spans="1:9">
      <c r="A52" s="7" t="s">
        <v>64</v>
      </c>
      <c r="B52" s="96" t="s">
        <v>21</v>
      </c>
      <c r="C52" s="100" t="s">
        <v>51</v>
      </c>
      <c r="D52" s="101">
        <v>18.05</v>
      </c>
      <c r="E52" s="97">
        <f>+D52</f>
        <v>18.05</v>
      </c>
      <c r="F52" s="98">
        <v>46477</v>
      </c>
      <c r="G52" s="102"/>
      <c r="I52" s="173"/>
    </row>
    <row r="53" spans="1:9">
      <c r="A53" s="7" t="s">
        <v>65</v>
      </c>
      <c r="B53" s="96" t="s">
        <v>21</v>
      </c>
      <c r="C53" s="100" t="s">
        <v>51</v>
      </c>
      <c r="D53" s="101">
        <v>0.35</v>
      </c>
      <c r="E53" s="97">
        <f>+D53</f>
        <v>0.35</v>
      </c>
      <c r="F53" s="98">
        <v>46477</v>
      </c>
      <c r="G53" s="102"/>
      <c r="I53" s="173"/>
    </row>
    <row r="54" spans="1:9">
      <c r="A54" s="95" t="s">
        <v>66</v>
      </c>
      <c r="B54" s="96" t="s">
        <v>21</v>
      </c>
      <c r="C54" s="96" t="s">
        <v>67</v>
      </c>
      <c r="D54" s="97">
        <v>11</v>
      </c>
      <c r="E54" s="97">
        <f>+D54</f>
        <v>11</v>
      </c>
      <c r="F54" s="98">
        <v>46477</v>
      </c>
      <c r="G54" s="99"/>
      <c r="I54" s="173"/>
    </row>
    <row r="55" spans="1:9">
      <c r="A55" s="7" t="s">
        <v>68</v>
      </c>
      <c r="B55" s="96" t="s">
        <v>21</v>
      </c>
      <c r="C55" s="100" t="s">
        <v>67</v>
      </c>
      <c r="D55" s="101">
        <v>0.15</v>
      </c>
      <c r="E55" s="97">
        <f>+D55</f>
        <v>0.15</v>
      </c>
      <c r="F55" s="98">
        <v>46477</v>
      </c>
      <c r="G55" s="102"/>
      <c r="I55" s="173"/>
    </row>
    <row r="56" spans="1:9">
      <c r="A56" s="106" t="s">
        <v>69</v>
      </c>
      <c r="B56" s="96" t="s">
        <v>21</v>
      </c>
      <c r="C56" s="107" t="s">
        <v>67</v>
      </c>
      <c r="D56" s="108">
        <v>61.2</v>
      </c>
      <c r="E56" s="101">
        <v>0</v>
      </c>
      <c r="F56" s="104" t="s">
        <v>30</v>
      </c>
      <c r="G56" s="109" t="s">
        <v>31</v>
      </c>
      <c r="I56" s="173"/>
    </row>
    <row r="57" spans="1:9">
      <c r="A57" s="7" t="s">
        <v>70</v>
      </c>
      <c r="B57" s="96" t="s">
        <v>21</v>
      </c>
      <c r="C57" s="100" t="s">
        <v>67</v>
      </c>
      <c r="D57" s="101">
        <v>2.5</v>
      </c>
      <c r="E57" s="114">
        <v>2.5</v>
      </c>
      <c r="F57" s="98">
        <v>46477</v>
      </c>
      <c r="G57" s="102"/>
      <c r="I57" s="173"/>
    </row>
    <row r="58" spans="1:9">
      <c r="A58" s="1" t="s">
        <v>71</v>
      </c>
      <c r="B58" s="96" t="s">
        <v>21</v>
      </c>
      <c r="C58" s="110" t="s">
        <v>67</v>
      </c>
      <c r="D58" s="111">
        <v>4</v>
      </c>
      <c r="E58" s="97">
        <f>+D58</f>
        <v>4</v>
      </c>
      <c r="F58" s="98">
        <v>46477</v>
      </c>
      <c r="G58" s="112"/>
      <c r="I58" s="173"/>
    </row>
    <row r="59" spans="1:9">
      <c r="A59" s="1" t="s">
        <v>72</v>
      </c>
      <c r="B59" s="96" t="s">
        <v>21</v>
      </c>
      <c r="C59" s="110" t="s">
        <v>67</v>
      </c>
      <c r="D59" s="111">
        <v>75</v>
      </c>
      <c r="E59" s="111">
        <v>0</v>
      </c>
      <c r="F59" s="104" t="s">
        <v>30</v>
      </c>
      <c r="G59" s="112" t="s">
        <v>31</v>
      </c>
      <c r="I59" s="173"/>
    </row>
    <row r="60" spans="1:9">
      <c r="A60" s="7" t="s">
        <v>73</v>
      </c>
      <c r="B60" s="96" t="s">
        <v>21</v>
      </c>
      <c r="C60" s="100" t="s">
        <v>67</v>
      </c>
      <c r="D60" s="101">
        <v>16.5</v>
      </c>
      <c r="E60" s="97">
        <f t="shared" ref="E60:E65" si="2">+D60</f>
        <v>16.5</v>
      </c>
      <c r="F60" s="98">
        <v>46477</v>
      </c>
      <c r="G60" s="102"/>
      <c r="I60" s="173"/>
    </row>
    <row r="61" spans="1:9">
      <c r="A61" s="2" t="s">
        <v>74</v>
      </c>
      <c r="B61" s="96" t="s">
        <v>21</v>
      </c>
      <c r="C61" s="113" t="s">
        <v>67</v>
      </c>
      <c r="D61" s="111">
        <v>7.9</v>
      </c>
      <c r="E61" s="97">
        <f t="shared" si="2"/>
        <v>7.9</v>
      </c>
      <c r="F61" s="98">
        <v>46477</v>
      </c>
      <c r="G61" s="112"/>
      <c r="I61" s="173"/>
    </row>
    <row r="62" spans="1:9">
      <c r="A62" s="2" t="s">
        <v>75</v>
      </c>
      <c r="B62" s="96" t="s">
        <v>21</v>
      </c>
      <c r="C62" s="113" t="s">
        <v>67</v>
      </c>
      <c r="D62" s="111">
        <v>3</v>
      </c>
      <c r="E62" s="97">
        <f t="shared" si="2"/>
        <v>3</v>
      </c>
      <c r="F62" s="98">
        <v>46477</v>
      </c>
      <c r="G62" s="112"/>
      <c r="I62" s="173"/>
    </row>
    <row r="63" spans="1:9">
      <c r="A63" s="2" t="s">
        <v>76</v>
      </c>
      <c r="B63" s="96" t="s">
        <v>21</v>
      </c>
      <c r="C63" s="113" t="s">
        <v>67</v>
      </c>
      <c r="D63" s="111">
        <v>2.2000000000000002</v>
      </c>
      <c r="E63" s="97">
        <f t="shared" si="2"/>
        <v>2.2000000000000002</v>
      </c>
      <c r="F63" s="98">
        <v>46477</v>
      </c>
      <c r="G63" s="112"/>
      <c r="I63" s="173"/>
    </row>
    <row r="64" spans="1:9">
      <c r="A64" s="2" t="s">
        <v>77</v>
      </c>
      <c r="B64" s="96" t="s">
        <v>21</v>
      </c>
      <c r="C64" s="113" t="s">
        <v>67</v>
      </c>
      <c r="D64" s="111">
        <v>2</v>
      </c>
      <c r="E64" s="97">
        <f t="shared" si="2"/>
        <v>2</v>
      </c>
      <c r="F64" s="98">
        <v>46477</v>
      </c>
      <c r="G64" s="112"/>
      <c r="I64" s="173"/>
    </row>
    <row r="65" spans="1:9">
      <c r="A65" s="2" t="s">
        <v>78</v>
      </c>
      <c r="B65" s="96" t="s">
        <v>21</v>
      </c>
      <c r="C65" s="113" t="s">
        <v>67</v>
      </c>
      <c r="D65" s="111">
        <v>0.04</v>
      </c>
      <c r="E65" s="97">
        <f t="shared" si="2"/>
        <v>0.04</v>
      </c>
      <c r="F65" s="98">
        <v>46477</v>
      </c>
      <c r="G65" s="112"/>
      <c r="I65" s="173"/>
    </row>
    <row r="66" spans="1:9">
      <c r="A66" s="2" t="s">
        <v>79</v>
      </c>
      <c r="B66" s="96" t="s">
        <v>21</v>
      </c>
      <c r="C66" s="113" t="s">
        <v>67</v>
      </c>
      <c r="D66" s="111">
        <v>45</v>
      </c>
      <c r="E66" s="111">
        <v>0</v>
      </c>
      <c r="F66" s="104" t="s">
        <v>30</v>
      </c>
      <c r="G66" s="112" t="s">
        <v>31</v>
      </c>
      <c r="I66" s="173"/>
    </row>
    <row r="67" spans="1:9">
      <c r="A67" s="2" t="s">
        <v>80</v>
      </c>
      <c r="B67" s="96" t="s">
        <v>21</v>
      </c>
      <c r="C67" s="113" t="s">
        <v>67</v>
      </c>
      <c r="D67" s="111">
        <v>4</v>
      </c>
      <c r="E67" s="97">
        <f>+D67</f>
        <v>4</v>
      </c>
      <c r="F67" s="98">
        <v>46477</v>
      </c>
      <c r="G67" s="112"/>
      <c r="I67" s="173"/>
    </row>
    <row r="68" spans="1:9">
      <c r="A68" s="2" t="s">
        <v>81</v>
      </c>
      <c r="B68" s="96" t="s">
        <v>21</v>
      </c>
      <c r="C68" s="113" t="s">
        <v>67</v>
      </c>
      <c r="D68" s="111">
        <v>15</v>
      </c>
      <c r="E68" s="97">
        <f>+D68</f>
        <v>15</v>
      </c>
      <c r="F68" s="98">
        <v>46477</v>
      </c>
      <c r="G68" s="112"/>
      <c r="I68" s="173"/>
    </row>
    <row r="69" spans="1:9">
      <c r="A69" s="2" t="s">
        <v>82</v>
      </c>
      <c r="B69" s="96" t="s">
        <v>21</v>
      </c>
      <c r="C69" s="113" t="s">
        <v>67</v>
      </c>
      <c r="D69" s="111">
        <v>0.05</v>
      </c>
      <c r="E69" s="97">
        <f>+D69</f>
        <v>0.05</v>
      </c>
      <c r="F69" s="98">
        <v>46477</v>
      </c>
      <c r="G69" s="112"/>
      <c r="I69" s="173"/>
    </row>
    <row r="70" spans="1:9">
      <c r="A70" s="2" t="s">
        <v>83</v>
      </c>
      <c r="B70" s="96" t="s">
        <v>21</v>
      </c>
      <c r="C70" s="113" t="s">
        <v>67</v>
      </c>
      <c r="D70" s="111">
        <v>44.1</v>
      </c>
      <c r="E70" s="111">
        <v>0</v>
      </c>
      <c r="F70" s="104" t="s">
        <v>30</v>
      </c>
      <c r="G70" s="112" t="s">
        <v>31</v>
      </c>
      <c r="I70" s="173"/>
    </row>
    <row r="71" spans="1:9">
      <c r="A71" s="7" t="s">
        <v>84</v>
      </c>
      <c r="B71" s="96" t="s">
        <v>21</v>
      </c>
      <c r="C71" s="100" t="s">
        <v>67</v>
      </c>
      <c r="D71" s="101">
        <v>16.829999999999998</v>
      </c>
      <c r="E71" s="97">
        <f>+D71</f>
        <v>16.829999999999998</v>
      </c>
      <c r="F71" s="98">
        <v>46477</v>
      </c>
      <c r="G71" s="102"/>
      <c r="I71" s="173"/>
    </row>
    <row r="72" spans="1:9">
      <c r="A72" s="7" t="s">
        <v>85</v>
      </c>
      <c r="B72" s="96" t="s">
        <v>21</v>
      </c>
      <c r="C72" s="100" t="s">
        <v>67</v>
      </c>
      <c r="D72" s="101">
        <v>0.18</v>
      </c>
      <c r="E72" s="97">
        <f>+D72</f>
        <v>0.18</v>
      </c>
      <c r="F72" s="98">
        <v>46477</v>
      </c>
      <c r="G72" s="102"/>
      <c r="I72" s="173"/>
    </row>
    <row r="73" spans="1:9">
      <c r="A73" s="106" t="s">
        <v>86</v>
      </c>
      <c r="B73" s="96" t="s">
        <v>21</v>
      </c>
      <c r="C73" s="107" t="s">
        <v>67</v>
      </c>
      <c r="D73" s="108">
        <v>0.55000000000000004</v>
      </c>
      <c r="E73" s="97">
        <f>+D73</f>
        <v>0.55000000000000004</v>
      </c>
      <c r="F73" s="98">
        <v>46477</v>
      </c>
      <c r="G73" s="109"/>
      <c r="I73" s="173"/>
    </row>
    <row r="74" spans="1:9">
      <c r="A74" s="7" t="s">
        <v>87</v>
      </c>
      <c r="B74" s="96" t="s">
        <v>21</v>
      </c>
      <c r="C74" s="100" t="s">
        <v>67</v>
      </c>
      <c r="D74" s="101">
        <v>34</v>
      </c>
      <c r="E74" s="101">
        <v>0</v>
      </c>
      <c r="F74" s="104" t="s">
        <v>30</v>
      </c>
      <c r="G74" s="102" t="s">
        <v>31</v>
      </c>
      <c r="I74" s="173"/>
    </row>
    <row r="75" spans="1:9">
      <c r="A75" s="7" t="s">
        <v>88</v>
      </c>
      <c r="B75" s="96" t="s">
        <v>21</v>
      </c>
      <c r="C75" s="100" t="s">
        <v>67</v>
      </c>
      <c r="D75" s="101"/>
      <c r="E75" s="101"/>
      <c r="F75" s="104" t="s">
        <v>30</v>
      </c>
      <c r="G75" s="102"/>
      <c r="I75" s="173"/>
    </row>
    <row r="76" spans="1:9">
      <c r="A76" s="95" t="s">
        <v>89</v>
      </c>
      <c r="B76" s="96" t="s">
        <v>21</v>
      </c>
      <c r="C76" s="96" t="s">
        <v>90</v>
      </c>
      <c r="D76" s="97">
        <v>6</v>
      </c>
      <c r="E76" s="97">
        <f>+D76</f>
        <v>6</v>
      </c>
      <c r="F76" s="98">
        <v>46477</v>
      </c>
      <c r="G76" s="99"/>
      <c r="I76" s="173"/>
    </row>
    <row r="77" spans="1:9">
      <c r="A77" s="7" t="s">
        <v>91</v>
      </c>
      <c r="B77" s="96" t="s">
        <v>21</v>
      </c>
      <c r="C77" s="100" t="s">
        <v>90</v>
      </c>
      <c r="D77" s="101">
        <v>0.88600000000000001</v>
      </c>
      <c r="E77" s="97">
        <f>+D77</f>
        <v>0.88600000000000001</v>
      </c>
      <c r="F77" s="98">
        <v>46477</v>
      </c>
      <c r="G77" s="102"/>
      <c r="I77" s="173"/>
    </row>
    <row r="78" spans="1:9">
      <c r="A78" s="106" t="s">
        <v>92</v>
      </c>
      <c r="B78" s="96" t="s">
        <v>21</v>
      </c>
      <c r="C78" s="107" t="s">
        <v>90</v>
      </c>
      <c r="D78" s="108">
        <v>40</v>
      </c>
      <c r="E78" s="101">
        <v>0</v>
      </c>
      <c r="F78" s="104" t="s">
        <v>30</v>
      </c>
      <c r="G78" s="109" t="s">
        <v>31</v>
      </c>
      <c r="I78" s="173"/>
    </row>
    <row r="79" spans="1:9">
      <c r="A79" s="7" t="s">
        <v>93</v>
      </c>
      <c r="B79" s="96" t="s">
        <v>21</v>
      </c>
      <c r="C79" s="100" t="s">
        <v>90</v>
      </c>
      <c r="D79" s="101">
        <v>25</v>
      </c>
      <c r="E79" s="101">
        <v>0</v>
      </c>
      <c r="F79" s="104" t="s">
        <v>30</v>
      </c>
      <c r="G79" s="102" t="s">
        <v>31</v>
      </c>
      <c r="I79" s="173"/>
    </row>
    <row r="80" spans="1:9">
      <c r="A80" s="1" t="s">
        <v>94</v>
      </c>
      <c r="B80" s="96" t="s">
        <v>21</v>
      </c>
      <c r="C80" s="110" t="s">
        <v>90</v>
      </c>
      <c r="D80" s="111">
        <v>0.08</v>
      </c>
      <c r="E80" s="97">
        <f>+D80</f>
        <v>0.08</v>
      </c>
      <c r="F80" s="98">
        <v>46477</v>
      </c>
      <c r="G80" s="112"/>
      <c r="I80" s="173"/>
    </row>
    <row r="81" spans="1:9">
      <c r="A81" s="1" t="s">
        <v>95</v>
      </c>
      <c r="B81" s="96" t="s">
        <v>21</v>
      </c>
      <c r="C81" s="110" t="s">
        <v>90</v>
      </c>
      <c r="D81" s="111">
        <v>2</v>
      </c>
      <c r="E81" s="97">
        <f>+D81</f>
        <v>2</v>
      </c>
      <c r="F81" s="98">
        <v>46477</v>
      </c>
      <c r="G81" s="112"/>
      <c r="I81" s="173"/>
    </row>
    <row r="82" spans="1:9">
      <c r="A82" s="7" t="s">
        <v>96</v>
      </c>
      <c r="B82" s="96" t="s">
        <v>21</v>
      </c>
      <c r="C82" s="100" t="s">
        <v>90</v>
      </c>
      <c r="D82" s="101">
        <v>6</v>
      </c>
      <c r="E82" s="97">
        <f>+D82</f>
        <v>6</v>
      </c>
      <c r="F82" s="98">
        <v>46477</v>
      </c>
      <c r="G82" s="102"/>
      <c r="I82" s="173"/>
    </row>
    <row r="83" spans="1:9">
      <c r="A83" s="2" t="s">
        <v>97</v>
      </c>
      <c r="B83" s="96" t="s">
        <v>21</v>
      </c>
      <c r="C83" s="113" t="s">
        <v>90</v>
      </c>
      <c r="D83" s="111">
        <v>2.4</v>
      </c>
      <c r="E83" s="97">
        <f>+D83</f>
        <v>2.4</v>
      </c>
      <c r="F83" s="98">
        <v>46477</v>
      </c>
      <c r="G83" s="112"/>
      <c r="I83" s="173"/>
    </row>
    <row r="84" spans="1:9">
      <c r="A84" s="7" t="s">
        <v>98</v>
      </c>
      <c r="B84" s="96" t="s">
        <v>21</v>
      </c>
      <c r="C84" s="100" t="s">
        <v>90</v>
      </c>
      <c r="D84" s="101"/>
      <c r="E84" s="101"/>
      <c r="F84" s="104" t="s">
        <v>30</v>
      </c>
      <c r="G84" s="102"/>
      <c r="I84" s="173"/>
    </row>
    <row r="85" spans="1:9">
      <c r="A85" s="7" t="s">
        <v>99</v>
      </c>
      <c r="B85" s="96" t="s">
        <v>21</v>
      </c>
      <c r="C85" s="100" t="s">
        <v>90</v>
      </c>
      <c r="D85" s="101">
        <v>15</v>
      </c>
      <c r="E85" s="97">
        <f>+D85</f>
        <v>15</v>
      </c>
      <c r="F85" s="98">
        <v>46477</v>
      </c>
      <c r="G85" s="102"/>
      <c r="I85" s="173"/>
    </row>
    <row r="86" spans="1:9">
      <c r="A86" s="106" t="s">
        <v>100</v>
      </c>
      <c r="B86" s="96" t="s">
        <v>21</v>
      </c>
      <c r="C86" s="107" t="s">
        <v>90</v>
      </c>
      <c r="D86" s="108">
        <v>152.5</v>
      </c>
      <c r="E86" s="101">
        <v>0</v>
      </c>
      <c r="F86" s="104" t="s">
        <v>30</v>
      </c>
      <c r="G86" s="109" t="s">
        <v>31</v>
      </c>
      <c r="I86" s="173"/>
    </row>
    <row r="87" spans="1:9">
      <c r="A87" s="7" t="s">
        <v>101</v>
      </c>
      <c r="B87" s="96" t="s">
        <v>21</v>
      </c>
      <c r="C87" s="100" t="s">
        <v>90</v>
      </c>
      <c r="D87" s="101">
        <v>5</v>
      </c>
      <c r="E87" s="97">
        <f t="shared" ref="E87:E94" si="3">+D87</f>
        <v>5</v>
      </c>
      <c r="F87" s="98">
        <v>46477</v>
      </c>
      <c r="G87" s="102"/>
      <c r="I87" s="173"/>
    </row>
    <row r="88" spans="1:9">
      <c r="A88" s="106" t="s">
        <v>102</v>
      </c>
      <c r="B88" s="96" t="s">
        <v>21</v>
      </c>
      <c r="C88" s="107" t="s">
        <v>90</v>
      </c>
      <c r="D88" s="101">
        <v>8</v>
      </c>
      <c r="E88" s="97">
        <f t="shared" si="3"/>
        <v>8</v>
      </c>
      <c r="F88" s="98">
        <v>46477</v>
      </c>
      <c r="G88" s="102"/>
      <c r="I88" s="173"/>
    </row>
    <row r="89" spans="1:9">
      <c r="A89" s="7" t="s">
        <v>103</v>
      </c>
      <c r="B89" s="96" t="s">
        <v>21</v>
      </c>
      <c r="C89" s="100" t="s">
        <v>90</v>
      </c>
      <c r="D89" s="101">
        <v>8.4000000000000005E-2</v>
      </c>
      <c r="E89" s="97">
        <f t="shared" si="3"/>
        <v>8.4000000000000005E-2</v>
      </c>
      <c r="F89" s="98">
        <v>46477</v>
      </c>
      <c r="G89" s="102"/>
      <c r="I89" s="173"/>
    </row>
    <row r="90" spans="1:9">
      <c r="A90" s="95" t="s">
        <v>104</v>
      </c>
      <c r="B90" s="96" t="s">
        <v>21</v>
      </c>
      <c r="C90" s="96" t="s">
        <v>105</v>
      </c>
      <c r="D90" s="97">
        <v>1.1000000000000001</v>
      </c>
      <c r="E90" s="97">
        <f t="shared" si="3"/>
        <v>1.1000000000000001</v>
      </c>
      <c r="F90" s="98">
        <v>46477</v>
      </c>
      <c r="G90" s="99"/>
      <c r="I90" s="173"/>
    </row>
    <row r="91" spans="1:9">
      <c r="A91" s="7" t="s">
        <v>106</v>
      </c>
      <c r="B91" s="96" t="s">
        <v>21</v>
      </c>
      <c r="C91" s="100" t="s">
        <v>105</v>
      </c>
      <c r="D91" s="101">
        <v>0.21</v>
      </c>
      <c r="E91" s="97">
        <f t="shared" si="3"/>
        <v>0.21</v>
      </c>
      <c r="F91" s="98">
        <v>46477</v>
      </c>
      <c r="G91" s="102"/>
      <c r="I91" s="173"/>
    </row>
    <row r="92" spans="1:9">
      <c r="A92" s="106" t="s">
        <v>107</v>
      </c>
      <c r="B92" s="96" t="s">
        <v>21</v>
      </c>
      <c r="C92" s="107" t="s">
        <v>105</v>
      </c>
      <c r="D92" s="101">
        <v>0.72</v>
      </c>
      <c r="E92" s="97">
        <f t="shared" si="3"/>
        <v>0.72</v>
      </c>
      <c r="F92" s="98">
        <v>46477</v>
      </c>
      <c r="G92" s="102"/>
      <c r="I92" s="173"/>
    </row>
    <row r="93" spans="1:9">
      <c r="A93" s="7" t="s">
        <v>108</v>
      </c>
      <c r="B93" s="96" t="s">
        <v>21</v>
      </c>
      <c r="C93" s="100" t="s">
        <v>105</v>
      </c>
      <c r="D93" s="101">
        <v>1.25</v>
      </c>
      <c r="E93" s="97">
        <f t="shared" si="3"/>
        <v>1.25</v>
      </c>
      <c r="F93" s="98">
        <v>46477</v>
      </c>
      <c r="G93" s="102"/>
      <c r="I93" s="173"/>
    </row>
    <row r="94" spans="1:9">
      <c r="A94" s="1" t="s">
        <v>109</v>
      </c>
      <c r="B94" s="96" t="s">
        <v>21</v>
      </c>
      <c r="C94" s="110" t="s">
        <v>105</v>
      </c>
      <c r="D94" s="111">
        <v>1.2</v>
      </c>
      <c r="E94" s="97">
        <f t="shared" si="3"/>
        <v>1.2</v>
      </c>
      <c r="F94" s="98">
        <v>46477</v>
      </c>
      <c r="G94" s="112"/>
      <c r="I94" s="173"/>
    </row>
    <row r="95" spans="1:9">
      <c r="A95" s="1" t="s">
        <v>110</v>
      </c>
      <c r="B95" s="96" t="s">
        <v>21</v>
      </c>
      <c r="C95" s="110" t="s">
        <v>105</v>
      </c>
      <c r="D95" s="111">
        <v>1.3</v>
      </c>
      <c r="E95" s="114">
        <v>1.3</v>
      </c>
      <c r="F95" s="98">
        <v>46477</v>
      </c>
      <c r="G95" s="112"/>
      <c r="I95" s="173"/>
    </row>
    <row r="96" spans="1:9">
      <c r="A96" s="7" t="s">
        <v>111</v>
      </c>
      <c r="B96" s="96" t="s">
        <v>21</v>
      </c>
      <c r="C96" s="100" t="s">
        <v>105</v>
      </c>
      <c r="D96" s="101"/>
      <c r="E96" s="101"/>
      <c r="F96" s="104" t="s">
        <v>30</v>
      </c>
      <c r="G96" s="102"/>
      <c r="I96" s="173"/>
    </row>
    <row r="97" spans="1:9">
      <c r="A97" s="2" t="s">
        <v>112</v>
      </c>
      <c r="B97" s="96" t="s">
        <v>21</v>
      </c>
      <c r="C97" s="113" t="s">
        <v>105</v>
      </c>
      <c r="D97" s="111">
        <v>1.8</v>
      </c>
      <c r="E97" s="97">
        <f>+D97</f>
        <v>1.8</v>
      </c>
      <c r="F97" s="98">
        <v>46477</v>
      </c>
      <c r="G97" s="112"/>
      <c r="I97" s="173"/>
    </row>
    <row r="98" spans="1:9">
      <c r="A98" s="7" t="s">
        <v>113</v>
      </c>
      <c r="B98" s="96" t="s">
        <v>21</v>
      </c>
      <c r="C98" s="100" t="s">
        <v>105</v>
      </c>
      <c r="D98" s="101">
        <v>0</v>
      </c>
      <c r="E98" s="97">
        <f>+D98</f>
        <v>0</v>
      </c>
      <c r="F98" s="98">
        <v>46477</v>
      </c>
      <c r="G98" s="102"/>
      <c r="I98" s="173"/>
    </row>
    <row r="99" spans="1:9" s="178" customFormat="1" ht="15">
      <c r="A99" s="174" t="s">
        <v>114</v>
      </c>
      <c r="B99" s="175"/>
      <c r="C99" s="176"/>
      <c r="D99" s="177">
        <f>SUM(D13:D98)</f>
        <v>1159.1980000000001</v>
      </c>
      <c r="E99" s="177">
        <f t="shared" ref="E99" si="4">SUM(E13:E98)</f>
        <v>502.44800000000004</v>
      </c>
      <c r="F99" s="177"/>
      <c r="G99" s="177"/>
      <c r="H99" s="158"/>
    </row>
    <row r="100" spans="1:9">
      <c r="A100" s="7"/>
      <c r="B100" s="115"/>
      <c r="C100" s="100"/>
      <c r="D100" s="101"/>
      <c r="E100" s="101"/>
      <c r="F100" s="104"/>
      <c r="G100" s="102"/>
    </row>
    <row r="101" spans="1:9">
      <c r="A101" s="120" t="s">
        <v>115</v>
      </c>
      <c r="B101" s="179" t="s">
        <v>21</v>
      </c>
      <c r="C101" s="180" t="s">
        <v>116</v>
      </c>
      <c r="D101" s="181">
        <v>300</v>
      </c>
      <c r="E101" s="181" t="s">
        <v>30</v>
      </c>
      <c r="F101" s="181" t="s">
        <v>30</v>
      </c>
      <c r="G101" s="181">
        <v>300</v>
      </c>
    </row>
    <row r="102" spans="1:9" s="178" customFormat="1" ht="15">
      <c r="A102" s="182" t="s">
        <v>116</v>
      </c>
      <c r="B102" s="183"/>
      <c r="C102" s="176"/>
      <c r="D102" s="177">
        <v>300</v>
      </c>
      <c r="E102" s="177"/>
      <c r="F102" s="177"/>
      <c r="G102" s="177"/>
      <c r="H102" s="158"/>
    </row>
    <row r="103" spans="1:9">
      <c r="A103" s="116"/>
      <c r="B103" s="116"/>
      <c r="C103" s="116"/>
      <c r="D103" s="117"/>
    </row>
    <row r="104" spans="1:9" s="184" customFormat="1" ht="15">
      <c r="A104" s="118" t="s">
        <v>117</v>
      </c>
      <c r="B104" s="118"/>
      <c r="C104" s="118"/>
      <c r="D104" s="119"/>
      <c r="G104" s="185"/>
    </row>
    <row r="105" spans="1:9" s="184" customFormat="1" ht="15">
      <c r="A105" s="118" t="s">
        <v>118</v>
      </c>
      <c r="B105" s="118"/>
      <c r="C105" s="118"/>
      <c r="D105" s="119"/>
      <c r="G105" s="185"/>
    </row>
    <row r="106" spans="1:9" s="184" customFormat="1" ht="15">
      <c r="A106" s="118" t="s">
        <v>119</v>
      </c>
      <c r="B106" s="118"/>
      <c r="C106" s="118"/>
      <c r="D106" s="119"/>
      <c r="G106" s="185"/>
    </row>
    <row r="107" spans="1:9" s="184" customFormat="1" ht="15">
      <c r="A107" s="118"/>
      <c r="B107" s="118"/>
      <c r="C107" s="118"/>
      <c r="D107" s="119"/>
      <c r="G107" s="185"/>
    </row>
    <row r="108" spans="1:9" s="184" customFormat="1" ht="15">
      <c r="A108" s="118"/>
      <c r="B108" s="118"/>
      <c r="C108" s="118"/>
      <c r="D108" s="119"/>
      <c r="G108" s="185"/>
    </row>
    <row r="109" spans="1:9" s="184" customFormat="1" ht="15">
      <c r="A109" s="118"/>
      <c r="B109" s="118"/>
      <c r="C109" s="118"/>
      <c r="D109" s="119"/>
      <c r="G109" s="185"/>
    </row>
  </sheetData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A5C42-B76A-4E32-A4F3-C806C2D3B3AD}">
  <sheetPr>
    <pageSetUpPr fitToPage="1"/>
  </sheetPr>
  <dimension ref="A1:CZ80"/>
  <sheetViews>
    <sheetView showGridLines="0" zoomScaleNormal="100" workbookViewId="0">
      <selection activeCell="J19" sqref="I19:J19"/>
    </sheetView>
  </sheetViews>
  <sheetFormatPr defaultColWidth="8.140625" defaultRowHeight="12.75"/>
  <cols>
    <col min="1" max="1" width="59.28515625" style="121" customWidth="1"/>
    <col min="2" max="2" width="59.5703125" style="121" customWidth="1"/>
    <col min="3" max="6" width="14.140625" style="291" customWidth="1"/>
    <col min="7" max="14" width="8.140625" style="121"/>
    <col min="15" max="15" width="12.85546875" style="121" customWidth="1"/>
    <col min="16" max="16384" width="8.140625" style="121"/>
  </cols>
  <sheetData>
    <row r="1" spans="1:104" ht="25.5">
      <c r="A1" s="143" t="s">
        <v>228</v>
      </c>
      <c r="B1" s="144" t="s">
        <v>117</v>
      </c>
      <c r="C1" s="275" t="s">
        <v>229</v>
      </c>
      <c r="D1" s="275" t="s">
        <v>230</v>
      </c>
      <c r="E1" s="275" t="s">
        <v>231</v>
      </c>
      <c r="F1" s="275" t="s">
        <v>232</v>
      </c>
    </row>
    <row r="2" spans="1:104" s="122" customFormat="1" ht="18.95" customHeight="1">
      <c r="A2" s="136" t="s">
        <v>233</v>
      </c>
      <c r="B2" s="136"/>
      <c r="C2" s="276" t="s">
        <v>234</v>
      </c>
      <c r="D2" s="276" t="s">
        <v>234</v>
      </c>
      <c r="E2" s="276" t="s">
        <v>234</v>
      </c>
      <c r="F2" s="276" t="s">
        <v>234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</row>
    <row r="3" spans="1:104">
      <c r="A3" s="148" t="s">
        <v>235</v>
      </c>
      <c r="B3" s="149"/>
      <c r="C3" s="414">
        <f>+C12</f>
        <v>3475.8</v>
      </c>
      <c r="D3" s="277">
        <f>+D12</f>
        <v>3742.8</v>
      </c>
      <c r="E3" s="277">
        <f>+E12</f>
        <v>3317.6</v>
      </c>
      <c r="F3" s="277">
        <f>+F12</f>
        <v>3170.6</v>
      </c>
    </row>
    <row r="4" spans="1:104" s="124" customFormat="1" ht="25.5">
      <c r="A4" s="150" t="s">
        <v>236</v>
      </c>
      <c r="B4" s="153" t="s">
        <v>237</v>
      </c>
      <c r="C4" s="415">
        <f t="shared" ref="C4:D4" si="0">C13</f>
        <v>244.3</v>
      </c>
      <c r="D4" s="278">
        <f t="shared" si="0"/>
        <v>127</v>
      </c>
      <c r="E4" s="278">
        <f>E13</f>
        <v>225.49090909090907</v>
      </c>
      <c r="F4" s="278">
        <f>F13</f>
        <v>259.29300000000001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</row>
    <row r="5" spans="1:104" s="123" customFormat="1">
      <c r="A5" s="148" t="s">
        <v>144</v>
      </c>
      <c r="B5" s="151"/>
      <c r="C5" s="414">
        <f>+C66</f>
        <v>4012.8</v>
      </c>
      <c r="D5" s="277">
        <f>+D66</f>
        <v>4579.8999999999996</v>
      </c>
      <c r="E5" s="277">
        <f>+E66</f>
        <v>4729.2318181818173</v>
      </c>
      <c r="F5" s="277">
        <f>+F66</f>
        <v>4589.5349999999989</v>
      </c>
    </row>
    <row r="6" spans="1:104" s="123" customFormat="1">
      <c r="A6" s="148" t="s">
        <v>210</v>
      </c>
      <c r="B6" s="149"/>
      <c r="C6" s="414">
        <f>+C73</f>
        <v>1845</v>
      </c>
      <c r="D6" s="277">
        <f>+D73</f>
        <v>2243.6999999999998</v>
      </c>
      <c r="E6" s="277">
        <f>+E73</f>
        <v>1439.1000000000001</v>
      </c>
      <c r="F6" s="277">
        <f>+F73</f>
        <v>1319</v>
      </c>
    </row>
    <row r="7" spans="1:104">
      <c r="A7" s="152" t="s">
        <v>238</v>
      </c>
      <c r="B7" s="152"/>
      <c r="C7" s="416">
        <v>592.29999999999995</v>
      </c>
      <c r="D7" s="279">
        <v>687.3</v>
      </c>
      <c r="E7" s="279">
        <v>687.19</v>
      </c>
      <c r="F7" s="279">
        <v>405.79999999999995</v>
      </c>
    </row>
    <row r="8" spans="1:104">
      <c r="A8" s="152" t="s">
        <v>239</v>
      </c>
      <c r="B8" s="152"/>
      <c r="C8" s="416">
        <v>1.1000000000000001</v>
      </c>
      <c r="D8" s="279">
        <v>2.1</v>
      </c>
      <c r="E8" s="279">
        <v>0</v>
      </c>
      <c r="F8" s="279">
        <v>0</v>
      </c>
    </row>
    <row r="9" spans="1:104" s="125" customFormat="1">
      <c r="A9" s="139" t="s">
        <v>240</v>
      </c>
      <c r="B9" s="139"/>
      <c r="C9" s="280">
        <f>SUM(C3:C8)</f>
        <v>10171.300000000001</v>
      </c>
      <c r="D9" s="280">
        <f>SUM(D3:D8)</f>
        <v>11382.800000000001</v>
      </c>
      <c r="E9" s="280">
        <f t="shared" ref="E9:F9" si="1">SUM(E3:E8)</f>
        <v>10398.612727272728</v>
      </c>
      <c r="F9" s="280">
        <f t="shared" si="1"/>
        <v>9744.2279999999992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</row>
    <row r="10" spans="1:104">
      <c r="A10" s="146"/>
      <c r="B10" s="146"/>
      <c r="C10" s="281"/>
      <c r="D10" s="281"/>
      <c r="E10" s="281"/>
      <c r="F10" s="281"/>
    </row>
    <row r="11" spans="1:104" s="122" customFormat="1">
      <c r="A11" s="136" t="s">
        <v>241</v>
      </c>
      <c r="B11" s="136"/>
      <c r="C11" s="276" t="s">
        <v>234</v>
      </c>
      <c r="D11" s="276" t="s">
        <v>234</v>
      </c>
      <c r="E11" s="276" t="s">
        <v>234</v>
      </c>
      <c r="F11" s="276" t="s">
        <v>234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</row>
    <row r="12" spans="1:104">
      <c r="A12" s="147" t="s">
        <v>242</v>
      </c>
      <c r="B12" s="140"/>
      <c r="C12" s="282">
        <v>3475.8</v>
      </c>
      <c r="D12" s="282">
        <v>3742.8</v>
      </c>
      <c r="E12" s="283">
        <v>3317.6</v>
      </c>
      <c r="F12" s="283">
        <v>3170.6</v>
      </c>
    </row>
    <row r="13" spans="1:104" ht="25.5">
      <c r="A13" s="137" t="s">
        <v>243</v>
      </c>
      <c r="B13" s="153" t="s">
        <v>244</v>
      </c>
      <c r="C13" s="417">
        <v>244.3</v>
      </c>
      <c r="D13" s="284">
        <v>127</v>
      </c>
      <c r="E13" s="284">
        <v>225.49090909090907</v>
      </c>
      <c r="F13" s="284">
        <v>259.29300000000001</v>
      </c>
    </row>
    <row r="14" spans="1:104">
      <c r="A14" s="145"/>
      <c r="B14" s="285"/>
      <c r="C14" s="286"/>
      <c r="D14" s="286"/>
      <c r="E14" s="286"/>
      <c r="F14" s="286"/>
    </row>
    <row r="15" spans="1:104">
      <c r="A15" s="136" t="s">
        <v>245</v>
      </c>
      <c r="B15" s="136"/>
      <c r="C15" s="276" t="s">
        <v>234</v>
      </c>
      <c r="D15" s="276" t="s">
        <v>234</v>
      </c>
      <c r="E15" s="276" t="s">
        <v>234</v>
      </c>
      <c r="F15" s="276" t="s">
        <v>234</v>
      </c>
    </row>
    <row r="16" spans="1:104">
      <c r="A16" s="137" t="s">
        <v>143</v>
      </c>
      <c r="B16" s="138"/>
      <c r="C16" s="417">
        <v>82.8</v>
      </c>
      <c r="D16" s="284">
        <v>80.5</v>
      </c>
      <c r="E16" s="284">
        <v>76.8</v>
      </c>
      <c r="F16" s="284">
        <v>81.900000000000006</v>
      </c>
      <c r="H16" s="126"/>
      <c r="I16" s="127"/>
      <c r="Q16" s="126"/>
    </row>
    <row r="17" spans="1:17">
      <c r="A17" s="137" t="s">
        <v>246</v>
      </c>
      <c r="B17" s="138"/>
      <c r="C17" s="417">
        <v>42.3</v>
      </c>
      <c r="D17" s="284">
        <v>37.5</v>
      </c>
      <c r="E17" s="284">
        <v>45.6</v>
      </c>
      <c r="F17" s="284">
        <v>56.1</v>
      </c>
      <c r="H17" s="126"/>
      <c r="I17" s="127"/>
      <c r="Q17" s="126"/>
    </row>
    <row r="18" spans="1:17">
      <c r="A18" s="137" t="s">
        <v>147</v>
      </c>
      <c r="B18" s="138"/>
      <c r="C18" s="417">
        <v>186.1</v>
      </c>
      <c r="D18" s="284">
        <v>200.7</v>
      </c>
      <c r="E18" s="284">
        <v>193.5</v>
      </c>
      <c r="F18" s="284">
        <v>152.80000000000001</v>
      </c>
      <c r="Q18" s="126"/>
    </row>
    <row r="19" spans="1:17" ht="25.5">
      <c r="A19" s="137" t="s">
        <v>247</v>
      </c>
      <c r="B19" s="138" t="s">
        <v>248</v>
      </c>
      <c r="C19" s="417">
        <v>597.29999999999995</v>
      </c>
      <c r="D19" s="284">
        <v>657.5</v>
      </c>
      <c r="E19" s="284">
        <v>673.3</v>
      </c>
      <c r="F19" s="284">
        <f>704.8+(154.9*0.65)</f>
        <v>805.4849999999999</v>
      </c>
      <c r="H19" s="126"/>
      <c r="I19" s="127"/>
      <c r="Q19" s="126"/>
    </row>
    <row r="20" spans="1:17">
      <c r="A20" s="137" t="s">
        <v>249</v>
      </c>
      <c r="B20" s="138"/>
      <c r="C20" s="417">
        <v>7.9</v>
      </c>
      <c r="D20" s="284">
        <v>7.9</v>
      </c>
      <c r="E20" s="284">
        <v>7.8</v>
      </c>
      <c r="F20" s="284">
        <v>9.3000000000000007</v>
      </c>
      <c r="H20" s="126"/>
      <c r="I20" s="127"/>
      <c r="J20" s="127"/>
      <c r="Q20" s="126"/>
    </row>
    <row r="21" spans="1:17">
      <c r="A21" s="137" t="s">
        <v>156</v>
      </c>
      <c r="B21" s="138"/>
      <c r="C21" s="417">
        <v>60.5</v>
      </c>
      <c r="D21" s="284">
        <v>69.2</v>
      </c>
      <c r="E21" s="284">
        <v>59.9</v>
      </c>
      <c r="F21" s="284">
        <v>72</v>
      </c>
      <c r="H21" s="126"/>
      <c r="I21" s="127"/>
      <c r="Q21" s="126"/>
    </row>
    <row r="22" spans="1:17">
      <c r="A22" s="137" t="s">
        <v>157</v>
      </c>
      <c r="B22" s="138" t="s">
        <v>250</v>
      </c>
      <c r="C22" s="417">
        <v>109.9</v>
      </c>
      <c r="D22" s="284">
        <v>121.3</v>
      </c>
      <c r="E22" s="284">
        <v>257.8</v>
      </c>
      <c r="F22" s="284">
        <v>261.3</v>
      </c>
      <c r="H22" s="126"/>
      <c r="I22" s="127"/>
      <c r="Q22" s="126"/>
    </row>
    <row r="23" spans="1:17">
      <c r="A23" s="137" t="s">
        <v>159</v>
      </c>
      <c r="B23" s="138"/>
      <c r="C23" s="417">
        <v>78.7</v>
      </c>
      <c r="D23" s="284">
        <v>89</v>
      </c>
      <c r="E23" s="284">
        <v>80.400000000000006</v>
      </c>
      <c r="F23" s="284">
        <v>90.8</v>
      </c>
      <c r="H23" s="126"/>
      <c r="I23" s="127"/>
      <c r="Q23" s="126"/>
    </row>
    <row r="24" spans="1:17">
      <c r="A24" s="137" t="s">
        <v>160</v>
      </c>
      <c r="B24" s="138"/>
      <c r="C24" s="417">
        <v>134</v>
      </c>
      <c r="D24" s="284">
        <v>173.8</v>
      </c>
      <c r="E24" s="284">
        <v>153.9</v>
      </c>
      <c r="F24" s="284">
        <v>156.30000000000001</v>
      </c>
      <c r="H24" s="126"/>
      <c r="I24" s="127"/>
      <c r="Q24" s="126"/>
    </row>
    <row r="25" spans="1:17">
      <c r="A25" s="137" t="s">
        <v>251</v>
      </c>
      <c r="B25" s="138"/>
      <c r="C25" s="417">
        <v>256</v>
      </c>
      <c r="D25" s="284">
        <v>307.89999999999998</v>
      </c>
      <c r="E25" s="284">
        <v>287.60000000000002</v>
      </c>
      <c r="F25" s="284">
        <v>361.9</v>
      </c>
      <c r="H25" s="126"/>
      <c r="I25" s="127"/>
      <c r="Q25" s="126"/>
    </row>
    <row r="26" spans="1:17">
      <c r="A26" s="137" t="s">
        <v>163</v>
      </c>
      <c r="B26" s="138"/>
      <c r="C26" s="417">
        <v>184.1</v>
      </c>
      <c r="D26" s="284">
        <v>197.5</v>
      </c>
      <c r="E26" s="284">
        <v>166.1</v>
      </c>
      <c r="F26" s="284">
        <v>212.1</v>
      </c>
      <c r="H26" s="126"/>
      <c r="I26" s="127"/>
      <c r="Q26" s="126"/>
    </row>
    <row r="27" spans="1:17">
      <c r="A27" s="137" t="s">
        <v>252</v>
      </c>
      <c r="B27" s="138"/>
      <c r="C27" s="417">
        <v>162.9</v>
      </c>
      <c r="D27" s="284">
        <v>170</v>
      </c>
      <c r="E27" s="284">
        <v>157.69999999999999</v>
      </c>
      <c r="F27" s="284">
        <v>180.8</v>
      </c>
      <c r="H27" s="126"/>
      <c r="I27" s="127"/>
      <c r="Q27" s="126"/>
    </row>
    <row r="28" spans="1:17">
      <c r="A28" s="137" t="s">
        <v>164</v>
      </c>
      <c r="B28" s="138"/>
      <c r="C28" s="417">
        <v>41.4</v>
      </c>
      <c r="D28" s="284">
        <v>42.4</v>
      </c>
      <c r="E28" s="284">
        <v>35</v>
      </c>
      <c r="F28" s="284">
        <v>49.1</v>
      </c>
      <c r="H28" s="126"/>
      <c r="I28" s="127"/>
      <c r="Q28" s="126"/>
    </row>
    <row r="29" spans="1:17">
      <c r="A29" s="137" t="s">
        <v>165</v>
      </c>
      <c r="B29" s="138"/>
      <c r="C29" s="417">
        <v>105.5</v>
      </c>
      <c r="D29" s="284">
        <v>121.3</v>
      </c>
      <c r="E29" s="284">
        <v>116.1</v>
      </c>
      <c r="F29" s="284">
        <v>166.6</v>
      </c>
      <c r="Q29" s="126"/>
    </row>
    <row r="30" spans="1:17">
      <c r="A30" s="137" t="s">
        <v>166</v>
      </c>
      <c r="B30" s="138" t="s">
        <v>250</v>
      </c>
      <c r="C30" s="417">
        <v>230.8</v>
      </c>
      <c r="D30" s="284">
        <v>280.2</v>
      </c>
      <c r="E30" s="284">
        <v>476.5</v>
      </c>
      <c r="F30" s="284"/>
      <c r="Q30" s="126"/>
    </row>
    <row r="31" spans="1:17">
      <c r="A31" s="137" t="s">
        <v>167</v>
      </c>
      <c r="B31" s="138"/>
      <c r="C31" s="417">
        <v>34.200000000000003</v>
      </c>
      <c r="D31" s="284">
        <v>44.1</v>
      </c>
      <c r="E31" s="284">
        <v>37.1</v>
      </c>
      <c r="F31" s="284">
        <v>42</v>
      </c>
      <c r="H31" s="126"/>
      <c r="I31" s="127"/>
      <c r="Q31" s="126"/>
    </row>
    <row r="32" spans="1:17">
      <c r="A32" s="137" t="s">
        <v>169</v>
      </c>
      <c r="B32" s="138"/>
      <c r="C32" s="417">
        <v>62.4</v>
      </c>
      <c r="D32" s="284">
        <v>75.400000000000006</v>
      </c>
      <c r="E32" s="284">
        <v>65</v>
      </c>
      <c r="F32" s="284">
        <v>73.5</v>
      </c>
      <c r="H32" s="126"/>
      <c r="I32" s="127"/>
      <c r="Q32" s="126"/>
    </row>
    <row r="33" spans="1:17">
      <c r="A33" s="137" t="s">
        <v>253</v>
      </c>
      <c r="B33" s="138" t="s">
        <v>254</v>
      </c>
      <c r="C33" s="417" t="s">
        <v>255</v>
      </c>
      <c r="D33" s="284" t="s">
        <v>255</v>
      </c>
      <c r="E33" s="284" t="s">
        <v>255</v>
      </c>
      <c r="F33" s="284">
        <v>2</v>
      </c>
      <c r="H33" s="126"/>
      <c r="I33" s="127"/>
      <c r="Q33" s="126"/>
    </row>
    <row r="34" spans="1:17">
      <c r="A34" s="139" t="s">
        <v>256</v>
      </c>
      <c r="B34" s="139"/>
      <c r="C34" s="287">
        <f>SUM(C16:C33)</f>
        <v>2376.8000000000002</v>
      </c>
      <c r="D34" s="287">
        <f>SUM(D16:D33)</f>
        <v>2676.2</v>
      </c>
      <c r="E34" s="287">
        <f>SUM(E16:E33)</f>
        <v>2890.0999999999995</v>
      </c>
      <c r="F34" s="287">
        <f>SUM(F16:F33)</f>
        <v>2773.9849999999997</v>
      </c>
      <c r="Q34" s="126"/>
    </row>
    <row r="35" spans="1:17">
      <c r="A35" s="140" t="s">
        <v>257</v>
      </c>
      <c r="B35" s="140"/>
      <c r="C35" s="417">
        <v>32.5</v>
      </c>
      <c r="D35" s="284">
        <v>34.700000000000003</v>
      </c>
      <c r="E35" s="284">
        <v>30.4</v>
      </c>
      <c r="F35" s="284">
        <v>33.299999999999997</v>
      </c>
    </row>
    <row r="36" spans="1:17">
      <c r="A36" s="137" t="s">
        <v>175</v>
      </c>
      <c r="B36" s="140"/>
      <c r="C36" s="417">
        <v>93.7</v>
      </c>
      <c r="D36" s="284">
        <f>99.2+19</f>
        <v>118.2</v>
      </c>
      <c r="E36" s="284">
        <v>80.7</v>
      </c>
      <c r="F36" s="284">
        <v>75.5</v>
      </c>
    </row>
    <row r="37" spans="1:17">
      <c r="A37" s="137" t="s">
        <v>258</v>
      </c>
      <c r="B37" s="140" t="s">
        <v>259</v>
      </c>
      <c r="C37" s="417" t="s">
        <v>255</v>
      </c>
      <c r="D37" s="284">
        <v>51.5</v>
      </c>
      <c r="E37" s="284">
        <v>49.9</v>
      </c>
      <c r="F37" s="284">
        <v>48.8</v>
      </c>
      <c r="Q37" s="126"/>
    </row>
    <row r="38" spans="1:17">
      <c r="A38" s="137" t="s">
        <v>177</v>
      </c>
      <c r="B38" s="140"/>
      <c r="C38" s="417">
        <v>70.400000000000006</v>
      </c>
      <c r="D38" s="284">
        <v>74.400000000000006</v>
      </c>
      <c r="E38" s="284">
        <v>62.1</v>
      </c>
      <c r="F38" s="284">
        <v>51.6</v>
      </c>
      <c r="Q38" s="126"/>
    </row>
    <row r="39" spans="1:17">
      <c r="A39" s="137" t="s">
        <v>178</v>
      </c>
      <c r="B39" s="140"/>
      <c r="C39" s="417">
        <v>85.8</v>
      </c>
      <c r="D39" s="284">
        <v>93.8</v>
      </c>
      <c r="E39" s="284">
        <v>92</v>
      </c>
      <c r="F39" s="284">
        <v>97</v>
      </c>
    </row>
    <row r="40" spans="1:17">
      <c r="A40" s="141" t="s">
        <v>260</v>
      </c>
      <c r="B40" s="139"/>
      <c r="C40" s="287">
        <f>SUM(C35:C39)</f>
        <v>282.40000000000003</v>
      </c>
      <c r="D40" s="287">
        <f>SUM(D35:D39)</f>
        <v>372.6</v>
      </c>
      <c r="E40" s="287">
        <f>SUM(E35:E39)</f>
        <v>315.10000000000002</v>
      </c>
      <c r="F40" s="287">
        <f>SUM(F35:F39)</f>
        <v>306.2</v>
      </c>
      <c r="Q40" s="126"/>
    </row>
    <row r="41" spans="1:17">
      <c r="A41" s="137" t="s">
        <v>261</v>
      </c>
      <c r="B41" s="138"/>
      <c r="C41" s="417">
        <v>75.8</v>
      </c>
      <c r="D41" s="284">
        <v>81.3</v>
      </c>
      <c r="E41" s="284">
        <v>76.8</v>
      </c>
      <c r="F41" s="284">
        <v>73.8</v>
      </c>
      <c r="H41" s="126"/>
      <c r="I41" s="127"/>
      <c r="Q41" s="126"/>
    </row>
    <row r="42" spans="1:17">
      <c r="A42" s="137" t="s">
        <v>181</v>
      </c>
      <c r="B42" s="138"/>
      <c r="C42" s="417">
        <v>95.7</v>
      </c>
      <c r="D42" s="284">
        <v>105.4</v>
      </c>
      <c r="E42" s="284">
        <v>101.3</v>
      </c>
      <c r="F42" s="284">
        <v>106.1</v>
      </c>
      <c r="H42" s="126"/>
      <c r="I42" s="127"/>
      <c r="Q42" s="126"/>
    </row>
    <row r="43" spans="1:17">
      <c r="A43" s="137" t="s">
        <v>262</v>
      </c>
      <c r="B43" s="138" t="s">
        <v>263</v>
      </c>
      <c r="C43" s="417">
        <v>69.900000000000006</v>
      </c>
      <c r="D43" s="284">
        <v>80.8</v>
      </c>
      <c r="E43" s="284">
        <v>73.63636363636364</v>
      </c>
      <c r="F43" s="284">
        <v>76.599999999999994</v>
      </c>
      <c r="H43" s="126"/>
      <c r="I43" s="127"/>
      <c r="Q43" s="126"/>
    </row>
    <row r="44" spans="1:17">
      <c r="A44" s="137" t="s">
        <v>185</v>
      </c>
      <c r="B44" s="138"/>
      <c r="C44" s="417">
        <v>99.6</v>
      </c>
      <c r="D44" s="284">
        <v>112.8</v>
      </c>
      <c r="E44" s="284">
        <v>101.7</v>
      </c>
      <c r="F44" s="284">
        <v>107.5</v>
      </c>
      <c r="H44" s="126"/>
      <c r="I44" s="127"/>
      <c r="Q44" s="126"/>
    </row>
    <row r="45" spans="1:17">
      <c r="A45" s="137" t="s">
        <v>186</v>
      </c>
      <c r="B45" s="138"/>
      <c r="C45" s="417">
        <v>13.8</v>
      </c>
      <c r="D45" s="284">
        <v>14.9</v>
      </c>
      <c r="E45" s="284">
        <v>13.9</v>
      </c>
      <c r="F45" s="284">
        <v>20.9</v>
      </c>
      <c r="H45" s="126"/>
      <c r="I45" s="127"/>
      <c r="Q45" s="126"/>
    </row>
    <row r="46" spans="1:17">
      <c r="A46" s="137" t="s">
        <v>187</v>
      </c>
      <c r="B46" s="138"/>
      <c r="C46" s="417">
        <v>10.6</v>
      </c>
      <c r="D46" s="284">
        <v>9.6</v>
      </c>
      <c r="E46" s="284">
        <v>8.1999999999999993</v>
      </c>
      <c r="F46" s="284">
        <v>7.6</v>
      </c>
      <c r="H46" s="126"/>
      <c r="I46" s="127"/>
      <c r="Q46" s="126"/>
    </row>
    <row r="47" spans="1:17">
      <c r="A47" s="137" t="s">
        <v>188</v>
      </c>
      <c r="B47" s="138"/>
      <c r="C47" s="417">
        <v>27.9</v>
      </c>
      <c r="D47" s="284">
        <v>32</v>
      </c>
      <c r="E47" s="284">
        <v>30</v>
      </c>
      <c r="F47" s="284">
        <v>33.4</v>
      </c>
      <c r="H47" s="126"/>
      <c r="I47" s="127"/>
      <c r="Q47" s="126"/>
    </row>
    <row r="48" spans="1:17">
      <c r="A48" s="137" t="s">
        <v>189</v>
      </c>
      <c r="B48" s="138"/>
      <c r="C48" s="417">
        <v>52</v>
      </c>
      <c r="D48" s="284">
        <v>61</v>
      </c>
      <c r="E48" s="284">
        <v>51.5</v>
      </c>
      <c r="F48" s="284">
        <v>53.3</v>
      </c>
      <c r="H48" s="126"/>
      <c r="I48" s="127"/>
      <c r="Q48" s="126"/>
    </row>
    <row r="49" spans="1:17">
      <c r="A49" s="137" t="s">
        <v>190</v>
      </c>
      <c r="B49" s="138"/>
      <c r="C49" s="417">
        <v>66.400000000000006</v>
      </c>
      <c r="D49" s="284">
        <v>76.400000000000006</v>
      </c>
      <c r="E49" s="284">
        <v>65.2</v>
      </c>
      <c r="F49" s="284">
        <v>72.8</v>
      </c>
      <c r="H49" s="126"/>
      <c r="I49" s="127"/>
      <c r="Q49" s="126"/>
    </row>
    <row r="50" spans="1:17">
      <c r="A50" s="137" t="s">
        <v>191</v>
      </c>
      <c r="B50" s="138"/>
      <c r="C50" s="417">
        <v>19.7</v>
      </c>
      <c r="D50" s="284">
        <v>27.3</v>
      </c>
      <c r="E50" s="284">
        <v>26.8</v>
      </c>
      <c r="F50" s="284">
        <v>26.9</v>
      </c>
      <c r="H50" s="126"/>
      <c r="I50" s="127"/>
      <c r="Q50" s="126"/>
    </row>
    <row r="51" spans="1:17">
      <c r="A51" s="137" t="s">
        <v>264</v>
      </c>
      <c r="B51" s="138"/>
      <c r="C51" s="417">
        <v>173.6</v>
      </c>
      <c r="D51" s="284">
        <v>199.9</v>
      </c>
      <c r="E51" s="284">
        <v>205.4</v>
      </c>
      <c r="F51" s="284">
        <v>198.1</v>
      </c>
      <c r="H51" s="126"/>
      <c r="I51" s="127"/>
      <c r="Q51" s="126"/>
    </row>
    <row r="52" spans="1:17" ht="25.5">
      <c r="A52" s="137" t="s">
        <v>265</v>
      </c>
      <c r="B52" s="138" t="s">
        <v>266</v>
      </c>
      <c r="C52" s="417">
        <v>80.599999999999994</v>
      </c>
      <c r="D52" s="284">
        <v>88.9</v>
      </c>
      <c r="E52" s="284">
        <f>365.9/2</f>
        <v>182.95</v>
      </c>
      <c r="F52" s="284">
        <v>146.44999999999999</v>
      </c>
      <c r="H52" s="126"/>
      <c r="I52" s="127"/>
      <c r="Q52" s="126"/>
    </row>
    <row r="53" spans="1:17">
      <c r="A53" s="137" t="s">
        <v>195</v>
      </c>
      <c r="B53" s="138"/>
      <c r="C53" s="417">
        <v>38.6</v>
      </c>
      <c r="D53" s="284">
        <v>40.9</v>
      </c>
      <c r="E53" s="284">
        <v>37.799999999999997</v>
      </c>
      <c r="F53" s="284">
        <v>35.299999999999997</v>
      </c>
      <c r="H53" s="126"/>
      <c r="I53" s="127"/>
      <c r="Q53" s="126"/>
    </row>
    <row r="54" spans="1:17">
      <c r="A54" s="137" t="s">
        <v>196</v>
      </c>
      <c r="B54" s="138"/>
      <c r="C54" s="417">
        <v>52.3</v>
      </c>
      <c r="D54" s="284">
        <v>58.5</v>
      </c>
      <c r="E54" s="284">
        <v>59.7</v>
      </c>
      <c r="F54" s="284">
        <v>59.6</v>
      </c>
      <c r="H54" s="126"/>
      <c r="I54" s="127"/>
      <c r="Q54" s="126"/>
    </row>
    <row r="55" spans="1:17">
      <c r="A55" s="137" t="s">
        <v>267</v>
      </c>
      <c r="B55" s="138"/>
      <c r="C55" s="417">
        <v>12.8</v>
      </c>
      <c r="D55" s="284">
        <v>14</v>
      </c>
      <c r="E55" s="284">
        <v>14.4</v>
      </c>
      <c r="F55" s="284">
        <v>18.7</v>
      </c>
      <c r="H55" s="126"/>
      <c r="I55" s="127"/>
      <c r="Q55" s="126"/>
    </row>
    <row r="56" spans="1:17">
      <c r="A56" s="137" t="s">
        <v>198</v>
      </c>
      <c r="B56" s="138"/>
      <c r="C56" s="417">
        <v>55.1</v>
      </c>
      <c r="D56" s="284">
        <v>61.1</v>
      </c>
      <c r="E56" s="284">
        <v>50.8</v>
      </c>
      <c r="F56" s="284">
        <v>10.5</v>
      </c>
      <c r="H56" s="126"/>
      <c r="I56" s="127"/>
      <c r="Q56" s="126"/>
    </row>
    <row r="57" spans="1:17">
      <c r="A57" s="137" t="s">
        <v>268</v>
      </c>
      <c r="B57" s="138" t="s">
        <v>263</v>
      </c>
      <c r="C57" s="417">
        <v>36.299999999999997</v>
      </c>
      <c r="D57" s="284">
        <v>45.8</v>
      </c>
      <c r="E57" s="284">
        <v>31.745454545454546</v>
      </c>
      <c r="F57" s="284">
        <v>37</v>
      </c>
      <c r="H57" s="126"/>
      <c r="I57" s="127"/>
      <c r="Q57" s="126"/>
    </row>
    <row r="58" spans="1:17">
      <c r="A58" s="137" t="s">
        <v>269</v>
      </c>
      <c r="B58" s="138"/>
      <c r="C58" s="417">
        <v>150.1</v>
      </c>
      <c r="D58" s="284">
        <v>39.200000000000003</v>
      </c>
      <c r="E58" s="284">
        <v>41.6</v>
      </c>
      <c r="F58" s="284">
        <v>45.2</v>
      </c>
      <c r="H58" s="126"/>
      <c r="I58" s="127"/>
      <c r="Q58" s="126"/>
    </row>
    <row r="59" spans="1:17">
      <c r="A59" s="137" t="s">
        <v>199</v>
      </c>
      <c r="B59" s="138"/>
      <c r="C59" s="417">
        <v>37.200000000000003</v>
      </c>
      <c r="D59" s="284">
        <v>177.3</v>
      </c>
      <c r="E59" s="284">
        <v>170.7</v>
      </c>
      <c r="F59" s="284">
        <v>187.1</v>
      </c>
      <c r="H59" s="126"/>
      <c r="I59" s="127"/>
      <c r="Q59" s="126"/>
    </row>
    <row r="60" spans="1:17">
      <c r="A60" s="137" t="s">
        <v>204</v>
      </c>
      <c r="B60" s="138"/>
      <c r="C60" s="417">
        <v>19.7</v>
      </c>
      <c r="D60" s="284">
        <v>20.5</v>
      </c>
      <c r="E60" s="284">
        <v>19.2</v>
      </c>
      <c r="F60" s="284">
        <v>19.899999999999999</v>
      </c>
      <c r="H60" s="126"/>
      <c r="I60" s="127"/>
      <c r="Q60" s="126"/>
    </row>
    <row r="61" spans="1:17">
      <c r="A61" s="137" t="s">
        <v>205</v>
      </c>
      <c r="B61" s="138"/>
      <c r="C61" s="417">
        <v>40.9</v>
      </c>
      <c r="D61" s="284">
        <v>44.7</v>
      </c>
      <c r="E61" s="284">
        <v>40.5</v>
      </c>
      <c r="F61" s="284">
        <v>44.5</v>
      </c>
      <c r="H61" s="126"/>
      <c r="I61" s="127"/>
      <c r="Q61" s="126"/>
    </row>
    <row r="62" spans="1:17">
      <c r="A62" s="137" t="s">
        <v>206</v>
      </c>
      <c r="B62" s="138"/>
      <c r="C62" s="417">
        <v>68.900000000000006</v>
      </c>
      <c r="D62" s="284">
        <v>71.400000000000006</v>
      </c>
      <c r="E62" s="284">
        <v>63.7</v>
      </c>
      <c r="F62" s="284">
        <v>64.599999999999994</v>
      </c>
      <c r="H62" s="126"/>
      <c r="I62" s="127"/>
      <c r="Q62" s="126"/>
    </row>
    <row r="63" spans="1:17">
      <c r="A63" s="137" t="s">
        <v>270</v>
      </c>
      <c r="B63" s="138"/>
      <c r="C63" s="417">
        <v>56.1</v>
      </c>
      <c r="D63" s="284">
        <v>67.400000000000006</v>
      </c>
      <c r="E63" s="284">
        <v>56.5</v>
      </c>
      <c r="F63" s="284">
        <v>63.5</v>
      </c>
      <c r="H63" s="126"/>
      <c r="I63" s="127"/>
      <c r="Q63" s="126"/>
    </row>
    <row r="64" spans="1:17" s="128" customFormat="1">
      <c r="A64" s="141" t="s">
        <v>271</v>
      </c>
      <c r="B64" s="142"/>
      <c r="C64" s="287">
        <f>SUM(C41:C63)</f>
        <v>1353.6000000000001</v>
      </c>
      <c r="D64" s="287">
        <f>SUM(D41:D63)</f>
        <v>1531.1000000000001</v>
      </c>
      <c r="E64" s="287">
        <f>SUM(E41:E63)</f>
        <v>1524.0318181818182</v>
      </c>
      <c r="F64" s="287">
        <f>SUM(F41:F63)</f>
        <v>1509.35</v>
      </c>
      <c r="Q64" s="129"/>
    </row>
    <row r="65" spans="1:104">
      <c r="A65" s="140"/>
      <c r="B65" s="140"/>
      <c r="C65" s="284"/>
      <c r="D65" s="284"/>
      <c r="E65" s="284"/>
      <c r="F65" s="284"/>
      <c r="Q65" s="126"/>
    </row>
    <row r="66" spans="1:104">
      <c r="A66" s="139" t="s">
        <v>272</v>
      </c>
      <c r="B66" s="139"/>
      <c r="C66" s="287">
        <f>+SUM(C40,C64,C34)</f>
        <v>4012.8</v>
      </c>
      <c r="D66" s="287">
        <f>+SUM(D40,D64,D34)</f>
        <v>4579.8999999999996</v>
      </c>
      <c r="E66" s="287">
        <f>+SUM(E40,E64,E34)</f>
        <v>4729.2318181818173</v>
      </c>
      <c r="F66" s="287">
        <f>SUM(F34,F64,F40)</f>
        <v>4589.5349999999989</v>
      </c>
      <c r="Q66" s="126"/>
    </row>
    <row r="67" spans="1:104" s="131" customFormat="1">
      <c r="A67" s="130"/>
      <c r="B67" s="130"/>
      <c r="C67" s="288"/>
      <c r="D67" s="288"/>
      <c r="E67" s="288"/>
      <c r="F67" s="288"/>
      <c r="Q67" s="132"/>
    </row>
    <row r="68" spans="1:104">
      <c r="A68" s="134" t="s">
        <v>273</v>
      </c>
      <c r="B68" s="135"/>
      <c r="C68" s="276" t="s">
        <v>234</v>
      </c>
      <c r="D68" s="276" t="s">
        <v>234</v>
      </c>
      <c r="E68" s="276" t="s">
        <v>234</v>
      </c>
      <c r="F68" s="276" t="s">
        <v>234</v>
      </c>
      <c r="Q68" s="126"/>
    </row>
    <row r="69" spans="1:104">
      <c r="A69" s="140" t="s">
        <v>209</v>
      </c>
      <c r="B69" s="140" t="s">
        <v>274</v>
      </c>
      <c r="C69" s="417">
        <v>858.6</v>
      </c>
      <c r="D69" s="284">
        <v>953.4</v>
      </c>
      <c r="E69" s="284">
        <v>341</v>
      </c>
      <c r="F69" s="284" t="s">
        <v>255</v>
      </c>
      <c r="Q69" s="126"/>
    </row>
    <row r="70" spans="1:104">
      <c r="A70" s="140" t="s">
        <v>222</v>
      </c>
      <c r="B70" s="140" t="s">
        <v>275</v>
      </c>
      <c r="C70" s="417">
        <v>105.3</v>
      </c>
      <c r="D70" s="284">
        <v>351.1</v>
      </c>
      <c r="E70" s="284">
        <v>308.60000000000002</v>
      </c>
      <c r="F70" s="284">
        <v>381.8</v>
      </c>
      <c r="Q70" s="126"/>
    </row>
    <row r="71" spans="1:104">
      <c r="A71" s="140" t="s">
        <v>214</v>
      </c>
      <c r="B71" s="140"/>
      <c r="C71" s="417">
        <v>881.1</v>
      </c>
      <c r="D71" s="284">
        <v>939.2</v>
      </c>
      <c r="E71" s="284">
        <v>788.3</v>
      </c>
      <c r="F71" s="284">
        <v>935.2</v>
      </c>
      <c r="Q71" s="126"/>
    </row>
    <row r="72" spans="1:104">
      <c r="A72" s="140" t="s">
        <v>276</v>
      </c>
      <c r="B72" s="140" t="s">
        <v>277</v>
      </c>
      <c r="C72" s="284"/>
      <c r="D72" s="284">
        <v>0</v>
      </c>
      <c r="E72" s="284">
        <v>1.2</v>
      </c>
      <c r="F72" s="284">
        <v>2</v>
      </c>
      <c r="Q72" s="126"/>
    </row>
    <row r="73" spans="1:104">
      <c r="A73" s="139" t="s">
        <v>278</v>
      </c>
      <c r="B73" s="139"/>
      <c r="C73" s="287">
        <f t="shared" ref="C73:F73" si="2">SUM(C69:C72)</f>
        <v>1845</v>
      </c>
      <c r="D73" s="287">
        <f t="shared" si="2"/>
        <v>2243.6999999999998</v>
      </c>
      <c r="E73" s="287">
        <f t="shared" si="2"/>
        <v>1439.1000000000001</v>
      </c>
      <c r="F73" s="287">
        <f t="shared" si="2"/>
        <v>1319</v>
      </c>
      <c r="Q73" s="126"/>
    </row>
    <row r="74" spans="1:104">
      <c r="A74" s="140"/>
      <c r="B74" s="140"/>
      <c r="C74" s="284"/>
      <c r="D74" s="284"/>
      <c r="E74" s="284"/>
      <c r="F74" s="284"/>
      <c r="Q74" s="126"/>
    </row>
    <row r="75" spans="1:104">
      <c r="A75" s="139" t="s">
        <v>279</v>
      </c>
      <c r="B75" s="139"/>
      <c r="C75" s="287">
        <f>C66+C73</f>
        <v>5857.8</v>
      </c>
      <c r="D75" s="287">
        <f>D66+D73</f>
        <v>6823.5999999999995</v>
      </c>
      <c r="E75" s="287">
        <f>E66+E73</f>
        <v>6168.3318181818177</v>
      </c>
      <c r="F75" s="287">
        <f>F73+F66</f>
        <v>5908.5349999999989</v>
      </c>
      <c r="Q75" s="126"/>
    </row>
    <row r="76" spans="1:104" s="289" customFormat="1">
      <c r="C76" s="290"/>
      <c r="D76" s="290"/>
      <c r="E76" s="290"/>
      <c r="F76" s="290"/>
    </row>
    <row r="77" spans="1:104" s="293" customFormat="1">
      <c r="A77" s="133" t="s">
        <v>117</v>
      </c>
      <c r="B77" s="121"/>
      <c r="C77" s="291"/>
      <c r="D77" s="291"/>
      <c r="E77" s="291"/>
      <c r="F77" s="29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</row>
    <row r="78" spans="1:104">
      <c r="A78" s="133" t="s">
        <v>280</v>
      </c>
    </row>
    <row r="79" spans="1:104">
      <c r="A79" s="133" t="s">
        <v>281</v>
      </c>
    </row>
    <row r="80" spans="1:104">
      <c r="A80" s="133" t="s">
        <v>282</v>
      </c>
    </row>
  </sheetData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53197-97E8-4CA2-989E-68AB64CED960}">
  <sheetPr>
    <pageSetUpPr fitToPage="1"/>
  </sheetPr>
  <dimension ref="A1:I35"/>
  <sheetViews>
    <sheetView zoomScale="85" zoomScaleNormal="85" zoomScaleSheetLayoutView="85" workbookViewId="0">
      <selection activeCell="D45" sqref="D45"/>
    </sheetView>
  </sheetViews>
  <sheetFormatPr defaultColWidth="9.140625" defaultRowHeight="12.75"/>
  <cols>
    <col min="1" max="1" width="30.140625" style="186" customWidth="1"/>
    <col min="2" max="2" width="18" style="186" customWidth="1"/>
    <col min="3" max="3" width="26.7109375" style="186" customWidth="1"/>
    <col min="4" max="4" width="11" style="186" customWidth="1"/>
    <col min="5" max="5" width="15.42578125" style="186" bestFit="1" customWidth="1"/>
    <col min="6" max="6" width="18.42578125" style="186" customWidth="1"/>
    <col min="7" max="7" width="33.7109375" style="186" customWidth="1"/>
    <col min="8" max="8" width="15.7109375" style="186" customWidth="1"/>
    <col min="9" max="9" width="57.42578125" style="186" customWidth="1"/>
    <col min="10" max="16384" width="9.140625" style="186"/>
  </cols>
  <sheetData>
    <row r="1" spans="1:9">
      <c r="A1" s="307" t="s">
        <v>283</v>
      </c>
    </row>
    <row r="2" spans="1:9" s="307" customFormat="1">
      <c r="A2" s="308" t="s">
        <v>284</v>
      </c>
      <c r="B2" s="308" t="s">
        <v>285</v>
      </c>
      <c r="C2" s="308" t="s">
        <v>130</v>
      </c>
      <c r="D2" s="308" t="s">
        <v>3</v>
      </c>
      <c r="E2" s="308" t="s">
        <v>286</v>
      </c>
      <c r="F2" s="308" t="s">
        <v>287</v>
      </c>
      <c r="G2" s="308" t="s">
        <v>288</v>
      </c>
      <c r="H2" s="308" t="s">
        <v>289</v>
      </c>
      <c r="I2" s="308" t="s">
        <v>117</v>
      </c>
    </row>
    <row r="3" spans="1:9">
      <c r="A3" s="303" t="s">
        <v>290</v>
      </c>
      <c r="B3" s="302" t="s">
        <v>210</v>
      </c>
      <c r="C3" s="300" t="s">
        <v>21</v>
      </c>
      <c r="D3" s="301">
        <v>1075</v>
      </c>
      <c r="E3" s="309">
        <v>0.49</v>
      </c>
      <c r="F3" s="306">
        <f>D3*E3</f>
        <v>526.75</v>
      </c>
      <c r="G3" s="312" t="s">
        <v>291</v>
      </c>
      <c r="H3" s="311" t="s">
        <v>220</v>
      </c>
      <c r="I3" s="304"/>
    </row>
    <row r="4" spans="1:9">
      <c r="A4" s="303" t="s">
        <v>292</v>
      </c>
      <c r="B4" s="302" t="s">
        <v>210</v>
      </c>
      <c r="C4" s="300" t="s">
        <v>215</v>
      </c>
      <c r="D4" s="301">
        <v>1200</v>
      </c>
      <c r="E4" s="309">
        <v>0.4</v>
      </c>
      <c r="F4" s="305">
        <f>D4*E4</f>
        <v>480</v>
      </c>
      <c r="G4" s="312" t="s">
        <v>291</v>
      </c>
      <c r="H4" s="311" t="s">
        <v>293</v>
      </c>
      <c r="I4" s="304"/>
    </row>
    <row r="5" spans="1:9">
      <c r="A5" s="303" t="s">
        <v>294</v>
      </c>
      <c r="B5" s="302" t="s">
        <v>210</v>
      </c>
      <c r="C5" s="300" t="s">
        <v>215</v>
      </c>
      <c r="D5" s="301">
        <v>1200</v>
      </c>
      <c r="E5" s="309">
        <v>0.4</v>
      </c>
      <c r="F5" s="305">
        <f>D5*E5</f>
        <v>480</v>
      </c>
      <c r="G5" s="312" t="s">
        <v>291</v>
      </c>
      <c r="H5" s="311" t="s">
        <v>293</v>
      </c>
      <c r="I5" s="304"/>
    </row>
    <row r="6" spans="1:9">
      <c r="A6" s="303" t="s">
        <v>295</v>
      </c>
      <c r="B6" s="302" t="s">
        <v>210</v>
      </c>
      <c r="C6" s="300" t="s">
        <v>215</v>
      </c>
      <c r="D6" s="301">
        <v>1200</v>
      </c>
      <c r="E6" s="309">
        <v>0.5</v>
      </c>
      <c r="F6" s="305">
        <f>D6*E6</f>
        <v>600</v>
      </c>
      <c r="G6" s="312" t="s">
        <v>296</v>
      </c>
      <c r="H6" s="311" t="s">
        <v>297</v>
      </c>
      <c r="I6" s="304"/>
    </row>
    <row r="7" spans="1:9">
      <c r="A7" s="299"/>
      <c r="B7" s="298"/>
      <c r="C7" s="295"/>
      <c r="D7" s="296"/>
      <c r="E7" s="297"/>
      <c r="F7" s="296">
        <f>SUM(F3:F6)</f>
        <v>2086.75</v>
      </c>
      <c r="G7" s="295"/>
      <c r="H7" s="295"/>
      <c r="I7" s="294"/>
    </row>
    <row r="8" spans="1:9">
      <c r="A8" s="303" t="s">
        <v>298</v>
      </c>
      <c r="B8" s="302" t="s">
        <v>210</v>
      </c>
      <c r="C8" s="300" t="s">
        <v>180</v>
      </c>
      <c r="D8" s="301">
        <v>520</v>
      </c>
      <c r="E8" s="309">
        <v>1</v>
      </c>
      <c r="F8" s="305">
        <f>D8*E8</f>
        <v>520</v>
      </c>
      <c r="G8" s="423" t="s">
        <v>299</v>
      </c>
      <c r="H8" s="311" t="s">
        <v>30</v>
      </c>
      <c r="I8" s="413"/>
    </row>
    <row r="9" spans="1:9">
      <c r="A9" s="303" t="s">
        <v>300</v>
      </c>
      <c r="B9" s="302" t="s">
        <v>210</v>
      </c>
      <c r="C9" s="300" t="s">
        <v>21</v>
      </c>
      <c r="D9" s="301">
        <v>360</v>
      </c>
      <c r="E9" s="309">
        <v>0.49</v>
      </c>
      <c r="F9" s="306">
        <f>D9*E9</f>
        <v>176.4</v>
      </c>
      <c r="G9" s="311" t="s">
        <v>301</v>
      </c>
      <c r="H9" s="311" t="s">
        <v>220</v>
      </c>
      <c r="I9" s="304"/>
    </row>
    <row r="10" spans="1:9">
      <c r="A10" s="299"/>
      <c r="B10" s="298"/>
      <c r="C10" s="295"/>
      <c r="D10" s="296"/>
      <c r="E10" s="297"/>
      <c r="F10" s="296">
        <f>SUM(F8:F9)</f>
        <v>696.4</v>
      </c>
      <c r="G10" s="295"/>
      <c r="H10" s="295"/>
      <c r="I10" s="294"/>
    </row>
    <row r="11" spans="1:9">
      <c r="A11" s="303" t="s">
        <v>302</v>
      </c>
      <c r="B11" s="302" t="s">
        <v>210</v>
      </c>
      <c r="C11" s="300" t="s">
        <v>21</v>
      </c>
      <c r="D11" s="310" t="s">
        <v>303</v>
      </c>
      <c r="E11" s="309">
        <v>1</v>
      </c>
      <c r="F11" s="310" t="s">
        <v>303</v>
      </c>
      <c r="G11" s="311" t="s">
        <v>304</v>
      </c>
      <c r="H11" s="311" t="s">
        <v>30</v>
      </c>
      <c r="I11" s="304" t="s">
        <v>305</v>
      </c>
    </row>
    <row r="12" spans="1:9">
      <c r="A12" s="303" t="s">
        <v>306</v>
      </c>
      <c r="B12" s="302" t="s">
        <v>210</v>
      </c>
      <c r="C12" s="300" t="s">
        <v>215</v>
      </c>
      <c r="D12" s="301">
        <v>504</v>
      </c>
      <c r="E12" s="309">
        <v>0.5</v>
      </c>
      <c r="F12" s="313">
        <f>D12*E12</f>
        <v>252</v>
      </c>
      <c r="G12" s="311" t="s">
        <v>304</v>
      </c>
      <c r="H12" s="311" t="s">
        <v>307</v>
      </c>
      <c r="I12" s="304" t="s">
        <v>308</v>
      </c>
    </row>
    <row r="13" spans="1:9">
      <c r="A13" s="299"/>
      <c r="B13" s="298"/>
      <c r="C13" s="295"/>
      <c r="D13" s="296"/>
      <c r="E13" s="297"/>
      <c r="F13" s="296" t="s">
        <v>309</v>
      </c>
      <c r="G13" s="295"/>
      <c r="H13" s="295"/>
      <c r="I13" s="294"/>
    </row>
    <row r="14" spans="1:9">
      <c r="A14" s="303" t="s">
        <v>310</v>
      </c>
      <c r="B14" s="302" t="s">
        <v>144</v>
      </c>
      <c r="C14" s="300" t="s">
        <v>21</v>
      </c>
      <c r="D14" s="301">
        <v>443</v>
      </c>
      <c r="E14" s="309">
        <v>1</v>
      </c>
      <c r="F14" s="310">
        <f>D14*E14</f>
        <v>443</v>
      </c>
      <c r="G14" s="312" t="s">
        <v>291</v>
      </c>
      <c r="H14" s="311" t="s">
        <v>30</v>
      </c>
      <c r="I14" s="304"/>
    </row>
    <row r="15" spans="1:9">
      <c r="A15" s="303" t="s">
        <v>311</v>
      </c>
      <c r="B15" s="302" t="s">
        <v>144</v>
      </c>
      <c r="C15" s="300" t="s">
        <v>21</v>
      </c>
      <c r="D15" s="301">
        <v>38</v>
      </c>
      <c r="E15" s="309">
        <v>1</v>
      </c>
      <c r="F15" s="310">
        <f>D15*E15</f>
        <v>38</v>
      </c>
      <c r="G15" s="312" t="s">
        <v>291</v>
      </c>
      <c r="H15" s="311" t="s">
        <v>30</v>
      </c>
      <c r="I15" s="304"/>
    </row>
    <row r="16" spans="1:9">
      <c r="A16" s="303" t="s">
        <v>312</v>
      </c>
      <c r="B16" s="302" t="s">
        <v>144</v>
      </c>
      <c r="C16" s="300" t="s">
        <v>180</v>
      </c>
      <c r="D16" s="301">
        <v>31</v>
      </c>
      <c r="E16" s="309">
        <v>0.5</v>
      </c>
      <c r="F16" s="310">
        <f>D16*E16</f>
        <v>15.5</v>
      </c>
      <c r="G16" s="311" t="s">
        <v>291</v>
      </c>
      <c r="H16" s="311" t="s">
        <v>313</v>
      </c>
      <c r="I16" s="304" t="s">
        <v>314</v>
      </c>
    </row>
    <row r="17" spans="1:9">
      <c r="A17" s="299"/>
      <c r="B17" s="298"/>
      <c r="C17" s="295"/>
      <c r="D17" s="296"/>
      <c r="E17" s="297"/>
      <c r="F17" s="296">
        <f>SUM(F14:F15)</f>
        <v>481</v>
      </c>
      <c r="G17" s="295"/>
      <c r="H17" s="295"/>
      <c r="I17" s="294"/>
    </row>
    <row r="18" spans="1:9">
      <c r="A18" s="303" t="s">
        <v>315</v>
      </c>
      <c r="B18" s="302" t="s">
        <v>144</v>
      </c>
      <c r="C18" s="300" t="s">
        <v>180</v>
      </c>
      <c r="D18" s="301">
        <v>105</v>
      </c>
      <c r="E18" s="309">
        <v>1</v>
      </c>
      <c r="F18" s="310">
        <f>D18*E18</f>
        <v>105</v>
      </c>
      <c r="G18" s="311" t="s">
        <v>301</v>
      </c>
      <c r="H18" s="311" t="s">
        <v>30</v>
      </c>
      <c r="I18" s="304"/>
    </row>
    <row r="19" spans="1:9">
      <c r="A19" s="303" t="s">
        <v>167</v>
      </c>
      <c r="B19" s="302" t="s">
        <v>144</v>
      </c>
      <c r="C19" s="300" t="s">
        <v>21</v>
      </c>
      <c r="D19" s="301">
        <v>57</v>
      </c>
      <c r="E19" s="309">
        <v>1</v>
      </c>
      <c r="F19" s="310">
        <f>D19*E19</f>
        <v>57</v>
      </c>
      <c r="G19" s="311" t="s">
        <v>301</v>
      </c>
      <c r="H19" s="311" t="s">
        <v>30</v>
      </c>
      <c r="I19" s="304" t="s">
        <v>316</v>
      </c>
    </row>
    <row r="20" spans="1:9">
      <c r="A20" s="299"/>
      <c r="B20" s="298"/>
      <c r="C20" s="295"/>
      <c r="D20" s="296"/>
      <c r="E20" s="297"/>
      <c r="F20" s="296">
        <f>SUM(F18:F19)</f>
        <v>162</v>
      </c>
      <c r="G20" s="295"/>
      <c r="H20" s="295"/>
      <c r="I20" s="294"/>
    </row>
    <row r="21" spans="1:9">
      <c r="A21" s="303" t="s">
        <v>317</v>
      </c>
      <c r="B21" s="302" t="s">
        <v>144</v>
      </c>
      <c r="C21" s="300" t="s">
        <v>21</v>
      </c>
      <c r="D21" s="301">
        <v>208</v>
      </c>
      <c r="E21" s="309">
        <v>1</v>
      </c>
      <c r="F21" s="310">
        <f>D21*E21</f>
        <v>208</v>
      </c>
      <c r="G21" s="311" t="s">
        <v>304</v>
      </c>
      <c r="H21" s="311" t="s">
        <v>30</v>
      </c>
      <c r="I21" s="304"/>
    </row>
    <row r="22" spans="1:9">
      <c r="A22" s="303" t="s">
        <v>318</v>
      </c>
      <c r="B22" s="302" t="s">
        <v>144</v>
      </c>
      <c r="C22" s="300" t="s">
        <v>21</v>
      </c>
      <c r="D22" s="301">
        <v>155</v>
      </c>
      <c r="E22" s="309">
        <v>1</v>
      </c>
      <c r="F22" s="310">
        <f>D22*E22</f>
        <v>155</v>
      </c>
      <c r="G22" s="311" t="s">
        <v>304</v>
      </c>
      <c r="H22" s="311" t="s">
        <v>30</v>
      </c>
      <c r="I22" s="304"/>
    </row>
    <row r="23" spans="1:9">
      <c r="A23" s="303" t="s">
        <v>319</v>
      </c>
      <c r="B23" s="302" t="s">
        <v>144</v>
      </c>
      <c r="C23" s="300" t="s">
        <v>323</v>
      </c>
      <c r="D23" s="310">
        <v>200</v>
      </c>
      <c r="E23" s="309">
        <v>1</v>
      </c>
      <c r="F23" s="310">
        <f>D23*E23</f>
        <v>200</v>
      </c>
      <c r="G23" s="311" t="s">
        <v>304</v>
      </c>
      <c r="H23" s="311" t="s">
        <v>30</v>
      </c>
      <c r="I23" s="300"/>
    </row>
    <row r="24" spans="1:9">
      <c r="A24" s="299"/>
      <c r="B24" s="298"/>
      <c r="C24" s="295"/>
      <c r="D24" s="296"/>
      <c r="E24" s="297"/>
      <c r="F24" s="296">
        <f>SUM(F21:F23)</f>
        <v>563</v>
      </c>
      <c r="G24" s="295"/>
      <c r="H24" s="295"/>
      <c r="I24" s="294"/>
    </row>
    <row r="25" spans="1:9">
      <c r="A25" s="418" t="s">
        <v>320</v>
      </c>
      <c r="B25" s="419" t="s">
        <v>144</v>
      </c>
      <c r="C25" s="311" t="s">
        <v>321</v>
      </c>
      <c r="D25" s="310" t="s">
        <v>322</v>
      </c>
      <c r="E25" s="309" t="s">
        <v>323</v>
      </c>
      <c r="F25" s="310" t="str">
        <f>D25</f>
        <v>c250</v>
      </c>
      <c r="G25" s="311" t="s">
        <v>324</v>
      </c>
      <c r="H25" s="311" t="s">
        <v>30</v>
      </c>
      <c r="I25" s="420"/>
    </row>
    <row r="26" spans="1:9">
      <c r="A26" s="418" t="s">
        <v>325</v>
      </c>
      <c r="B26" s="419" t="s">
        <v>144</v>
      </c>
      <c r="C26" s="311" t="s">
        <v>173</v>
      </c>
      <c r="D26" s="310" t="s">
        <v>326</v>
      </c>
      <c r="E26" s="309" t="s">
        <v>323</v>
      </c>
      <c r="F26" s="310" t="str">
        <f t="shared" ref="F26:F27" si="0">D26</f>
        <v>c50</v>
      </c>
      <c r="G26" s="311" t="s">
        <v>324</v>
      </c>
      <c r="H26" s="311" t="s">
        <v>30</v>
      </c>
      <c r="I26" s="420"/>
    </row>
    <row r="27" spans="1:9">
      <c r="A27" s="418" t="s">
        <v>327</v>
      </c>
      <c r="B27" s="419" t="s">
        <v>144</v>
      </c>
      <c r="C27" s="311" t="s">
        <v>180</v>
      </c>
      <c r="D27" s="310" t="s">
        <v>322</v>
      </c>
      <c r="E27" s="309" t="s">
        <v>323</v>
      </c>
      <c r="F27" s="310" t="str">
        <f t="shared" si="0"/>
        <v>c250</v>
      </c>
      <c r="G27" s="311" t="s">
        <v>324</v>
      </c>
      <c r="H27" s="311" t="s">
        <v>30</v>
      </c>
      <c r="I27" s="420"/>
    </row>
    <row r="28" spans="1:9">
      <c r="A28" s="418" t="s">
        <v>328</v>
      </c>
      <c r="B28" s="419" t="s">
        <v>210</v>
      </c>
      <c r="C28" s="311" t="s">
        <v>180</v>
      </c>
      <c r="D28" s="420">
        <v>800</v>
      </c>
      <c r="E28" s="421">
        <v>1</v>
      </c>
      <c r="F28" s="420">
        <f>E28*D28</f>
        <v>800</v>
      </c>
      <c r="G28" s="311" t="s">
        <v>324</v>
      </c>
      <c r="H28" s="311" t="s">
        <v>30</v>
      </c>
      <c r="I28" s="420"/>
    </row>
    <row r="29" spans="1:9">
      <c r="A29" s="418" t="s">
        <v>329</v>
      </c>
      <c r="B29" s="419" t="s">
        <v>210</v>
      </c>
      <c r="C29" s="311" t="s">
        <v>180</v>
      </c>
      <c r="D29" s="420">
        <v>800</v>
      </c>
      <c r="E29" s="421">
        <v>1</v>
      </c>
      <c r="F29" s="420">
        <f>E29*D29</f>
        <v>800</v>
      </c>
      <c r="G29" s="311" t="s">
        <v>324</v>
      </c>
      <c r="H29" s="311" t="s">
        <v>30</v>
      </c>
      <c r="I29" s="420"/>
    </row>
    <row r="30" spans="1:9">
      <c r="A30" s="418" t="s">
        <v>330</v>
      </c>
      <c r="B30" s="419" t="s">
        <v>331</v>
      </c>
      <c r="C30" s="311" t="s">
        <v>321</v>
      </c>
      <c r="D30" s="422" t="s">
        <v>332</v>
      </c>
      <c r="E30" s="421">
        <v>1</v>
      </c>
      <c r="F30" s="311" t="s">
        <v>332</v>
      </c>
      <c r="G30" s="311" t="s">
        <v>324</v>
      </c>
      <c r="H30" s="311" t="s">
        <v>30</v>
      </c>
      <c r="I30" s="420" t="s">
        <v>387</v>
      </c>
    </row>
    <row r="31" spans="1:9">
      <c r="A31" s="299"/>
      <c r="B31" s="298"/>
      <c r="C31" s="295"/>
      <c r="D31" s="296"/>
      <c r="E31" s="297"/>
      <c r="F31" s="296" t="s">
        <v>333</v>
      </c>
      <c r="G31" s="295"/>
      <c r="H31" s="295"/>
      <c r="I31" s="294"/>
    </row>
    <row r="33" spans="1:1">
      <c r="A33" s="133" t="s">
        <v>117</v>
      </c>
    </row>
    <row r="34" spans="1:1">
      <c r="A34" s="133" t="s">
        <v>334</v>
      </c>
    </row>
    <row r="35" spans="1:1">
      <c r="A35" s="133"/>
    </row>
  </sheetData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EB810-7ADA-4560-AE45-59D8E1E49E43}">
  <sheetPr>
    <pageSetUpPr fitToPage="1"/>
  </sheetPr>
  <dimension ref="A1:CZ120"/>
  <sheetViews>
    <sheetView workbookViewId="0">
      <selection activeCell="H57" sqref="H57"/>
    </sheetView>
  </sheetViews>
  <sheetFormatPr defaultColWidth="8.140625" defaultRowHeight="12"/>
  <cols>
    <col min="1" max="1" width="19.140625" style="8" customWidth="1"/>
    <col min="2" max="2" width="54.42578125" style="8" customWidth="1"/>
    <col min="3" max="3" width="59.5703125" style="8" customWidth="1"/>
    <col min="4" max="6" width="14.140625" style="74" customWidth="1"/>
    <col min="7" max="7" width="8.140625" style="8"/>
    <col min="8" max="8" width="13.42578125" style="75" customWidth="1"/>
    <col min="9" max="14" width="8.140625" style="8"/>
    <col min="15" max="15" width="12.85546875" style="8" customWidth="1"/>
    <col min="16" max="16384" width="8.140625" style="8"/>
  </cols>
  <sheetData>
    <row r="1" spans="1:104" ht="33.75" customHeight="1" thickBot="1">
      <c r="B1" s="9" t="s">
        <v>228</v>
      </c>
      <c r="C1" s="11" t="s">
        <v>335</v>
      </c>
      <c r="D1" s="60" t="s">
        <v>230</v>
      </c>
      <c r="E1" s="60" t="s">
        <v>231</v>
      </c>
      <c r="F1" s="60" t="s">
        <v>232</v>
      </c>
    </row>
    <row r="2" spans="1:104" s="14" customFormat="1" ht="20.25" customHeight="1" thickBot="1">
      <c r="A2" s="8"/>
      <c r="B2" s="12" t="s">
        <v>233</v>
      </c>
      <c r="C2" s="13"/>
      <c r="D2" s="61" t="s">
        <v>234</v>
      </c>
      <c r="E2" s="61" t="s">
        <v>234</v>
      </c>
      <c r="F2" s="61" t="s">
        <v>234</v>
      </c>
      <c r="G2" s="8"/>
      <c r="H2" s="7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</row>
    <row r="3" spans="1:104" ht="24" customHeight="1">
      <c r="B3" s="15" t="s">
        <v>235</v>
      </c>
      <c r="C3" s="16"/>
      <c r="D3" s="53">
        <f>+D12</f>
        <v>3742.8</v>
      </c>
      <c r="E3" s="53">
        <f>+E12</f>
        <v>3317.6</v>
      </c>
      <c r="F3" s="53">
        <f>+F12</f>
        <v>3170.6</v>
      </c>
      <c r="H3" s="76"/>
    </row>
    <row r="4" spans="1:104" s="22" customFormat="1" ht="20.25" customHeight="1">
      <c r="A4" s="17"/>
      <c r="B4" s="21" t="s">
        <v>236</v>
      </c>
      <c r="C4" s="21"/>
      <c r="D4" s="54">
        <v>127</v>
      </c>
      <c r="E4" s="54">
        <f>E13</f>
        <v>225.49090909090907</v>
      </c>
      <c r="F4" s="54">
        <f>F13</f>
        <v>259.29300000000001</v>
      </c>
      <c r="G4" s="17"/>
      <c r="H4" s="7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4" s="17" customFormat="1" ht="24" customHeight="1">
      <c r="B5" s="15" t="s">
        <v>144</v>
      </c>
      <c r="C5" s="18"/>
      <c r="D5" s="55">
        <f>+D67</f>
        <v>4316.1000000000004</v>
      </c>
      <c r="E5" s="55">
        <f>+E67</f>
        <v>4479.5318181818184</v>
      </c>
      <c r="F5" s="55">
        <f>+F67</f>
        <v>4311.7349999999997</v>
      </c>
      <c r="H5" s="78"/>
    </row>
    <row r="6" spans="1:104" s="17" customFormat="1" ht="24" customHeight="1" thickBot="1">
      <c r="B6" s="15" t="s">
        <v>210</v>
      </c>
      <c r="C6" s="19"/>
      <c r="D6" s="56">
        <f>+D73</f>
        <v>2243.6999999999998</v>
      </c>
      <c r="E6" s="56">
        <f>+E73</f>
        <v>1439.1000000000001</v>
      </c>
      <c r="F6" s="56">
        <f>+F73</f>
        <v>1319</v>
      </c>
      <c r="H6" s="78"/>
    </row>
    <row r="7" spans="1:104" ht="20.25" customHeight="1">
      <c r="B7" s="20" t="s">
        <v>238</v>
      </c>
      <c r="C7" s="20"/>
      <c r="D7" s="57">
        <v>687.3</v>
      </c>
      <c r="E7" s="57">
        <v>687.19</v>
      </c>
      <c r="F7" s="57">
        <v>405.79999999999995</v>
      </c>
    </row>
    <row r="8" spans="1:104" ht="20.25" customHeight="1" thickBot="1">
      <c r="B8" s="20" t="s">
        <v>239</v>
      </c>
      <c r="C8" s="20"/>
      <c r="D8" s="58">
        <v>2.1</v>
      </c>
      <c r="E8" s="58">
        <v>0</v>
      </c>
      <c r="F8" s="58">
        <v>0</v>
      </c>
      <c r="H8" s="76"/>
    </row>
    <row r="9" spans="1:104" s="27" customFormat="1" ht="20.25" customHeight="1" thickBot="1">
      <c r="A9" s="8"/>
      <c r="B9" s="25" t="s">
        <v>240</v>
      </c>
      <c r="C9" s="26"/>
      <c r="D9" s="59">
        <f>SUM(D3:D8)</f>
        <v>11119</v>
      </c>
      <c r="E9" s="59">
        <f t="shared" ref="E9:F9" si="0">SUM(E3:E8)</f>
        <v>10148.912727272727</v>
      </c>
      <c r="F9" s="59">
        <f t="shared" si="0"/>
        <v>9466.4279999999999</v>
      </c>
      <c r="G9" s="8"/>
      <c r="H9" s="7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</row>
    <row r="10" spans="1:104" ht="24" customHeight="1" thickBot="1">
      <c r="B10" s="28"/>
      <c r="C10" s="28"/>
      <c r="D10" s="62"/>
      <c r="E10" s="62"/>
      <c r="F10" s="62"/>
      <c r="H10" s="76"/>
    </row>
    <row r="11" spans="1:104" s="14" customFormat="1" ht="20.25" customHeight="1" thickBot="1">
      <c r="A11" s="8"/>
      <c r="B11" s="12" t="s">
        <v>241</v>
      </c>
      <c r="C11" s="13"/>
      <c r="D11" s="61" t="s">
        <v>234</v>
      </c>
      <c r="E11" s="61" t="s">
        <v>234</v>
      </c>
      <c r="F11" s="61" t="s">
        <v>234</v>
      </c>
      <c r="G11" s="8"/>
      <c r="H11" s="7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</row>
    <row r="12" spans="1:104">
      <c r="B12" s="29" t="s">
        <v>242</v>
      </c>
      <c r="C12" s="30"/>
      <c r="D12" s="63">
        <v>3742.8</v>
      </c>
      <c r="E12" s="64">
        <v>3317.6</v>
      </c>
      <c r="F12" s="64">
        <v>3170.6</v>
      </c>
    </row>
    <row r="13" spans="1:104" ht="12.75" thickBot="1">
      <c r="B13" s="31" t="s">
        <v>243</v>
      </c>
      <c r="C13" s="30"/>
      <c r="D13" s="65">
        <v>127</v>
      </c>
      <c r="E13" s="65">
        <v>225.49090909090907</v>
      </c>
      <c r="F13" s="65">
        <v>259.29300000000001</v>
      </c>
    </row>
    <row r="14" spans="1:104" ht="24" customHeight="1" thickBot="1">
      <c r="B14" s="32"/>
      <c r="C14" s="33"/>
      <c r="D14" s="66"/>
      <c r="E14" s="66"/>
      <c r="F14" s="66"/>
    </row>
    <row r="15" spans="1:104" ht="20.25" customHeight="1" thickBot="1">
      <c r="A15" s="8" t="s">
        <v>336</v>
      </c>
      <c r="B15" s="34" t="s">
        <v>245</v>
      </c>
      <c r="C15" s="35"/>
      <c r="D15" s="67" t="s">
        <v>234</v>
      </c>
      <c r="E15" s="67" t="s">
        <v>234</v>
      </c>
      <c r="F15" s="67" t="s">
        <v>234</v>
      </c>
      <c r="H15" s="75" t="s">
        <v>337</v>
      </c>
    </row>
    <row r="16" spans="1:104">
      <c r="A16" s="81">
        <v>38</v>
      </c>
      <c r="B16" s="31" t="s">
        <v>143</v>
      </c>
      <c r="C16" s="39"/>
      <c r="D16" s="65">
        <v>80.5</v>
      </c>
      <c r="E16" s="65">
        <v>76.8</v>
      </c>
      <c r="F16" s="65">
        <v>81.900000000000006</v>
      </c>
      <c r="H16" s="75">
        <f>+D16*1000/($A16*24*365)</f>
        <v>0.24182888728670993</v>
      </c>
      <c r="I16" s="75">
        <f t="shared" ref="I16:J31" si="1">+E16*1000/($A16*24*365)</f>
        <v>0.23071377072819033</v>
      </c>
      <c r="J16" s="75">
        <f t="shared" si="1"/>
        <v>0.24603460706560923</v>
      </c>
      <c r="Q16" s="49"/>
    </row>
    <row r="17" spans="1:17">
      <c r="A17" s="81">
        <f>19.5+9.1</f>
        <v>28.6</v>
      </c>
      <c r="B17" s="31" t="s">
        <v>338</v>
      </c>
      <c r="C17" s="39"/>
      <c r="D17" s="65">
        <v>37.5</v>
      </c>
      <c r="E17" s="65">
        <v>45.6</v>
      </c>
      <c r="F17" s="65">
        <v>56.1</v>
      </c>
      <c r="H17" s="75">
        <f t="shared" ref="H17:H34" si="2">+D17*1000/($A17*24*365)</f>
        <v>0.1496790880352524</v>
      </c>
      <c r="I17" s="75">
        <f t="shared" si="1"/>
        <v>0.18200977105086691</v>
      </c>
      <c r="J17" s="75">
        <f t="shared" si="1"/>
        <v>0.2239199157007376</v>
      </c>
      <c r="Q17" s="49"/>
    </row>
    <row r="18" spans="1:17">
      <c r="A18" s="81">
        <v>108</v>
      </c>
      <c r="B18" s="31" t="s">
        <v>147</v>
      </c>
      <c r="C18" s="39"/>
      <c r="D18" s="65">
        <v>200.7</v>
      </c>
      <c r="E18" s="65">
        <v>193.5</v>
      </c>
      <c r="F18" s="65">
        <v>152.80000000000001</v>
      </c>
      <c r="H18" s="75">
        <f t="shared" si="2"/>
        <v>0.21213850837138509</v>
      </c>
      <c r="I18" s="75">
        <f t="shared" si="1"/>
        <v>0.20452815829528159</v>
      </c>
      <c r="J18" s="75">
        <f t="shared" si="1"/>
        <v>0.16150854050397428</v>
      </c>
      <c r="Q18" s="49"/>
    </row>
    <row r="19" spans="1:17">
      <c r="A19" s="81">
        <v>3</v>
      </c>
      <c r="B19" s="31" t="s">
        <v>249</v>
      </c>
      <c r="C19" s="39"/>
      <c r="D19" s="65">
        <v>7.9</v>
      </c>
      <c r="E19" s="65">
        <v>7.8</v>
      </c>
      <c r="F19" s="65">
        <v>9.3000000000000007</v>
      </c>
      <c r="H19" s="75">
        <f>+D19*1000/($A19*24*365)</f>
        <v>0.30060882800608829</v>
      </c>
      <c r="I19" s="75">
        <f>+E19*1000/($A19*24*365)</f>
        <v>0.29680365296803651</v>
      </c>
      <c r="J19" s="75">
        <f>+F19*1000/($A19*24*365)</f>
        <v>0.35388127853881279</v>
      </c>
      <c r="Q19" s="49"/>
    </row>
    <row r="20" spans="1:17" ht="24">
      <c r="A20" s="81">
        <v>262</v>
      </c>
      <c r="B20" s="31" t="s">
        <v>247</v>
      </c>
      <c r="C20" s="39" t="s">
        <v>248</v>
      </c>
      <c r="D20" s="65">
        <v>657.5</v>
      </c>
      <c r="E20" s="65">
        <v>673.3</v>
      </c>
      <c r="F20" s="65">
        <f>704.8+(154.9*0.65)</f>
        <v>805.4849999999999</v>
      </c>
      <c r="H20" s="75">
        <f t="shared" si="2"/>
        <v>0.28647739551744572</v>
      </c>
      <c r="I20" s="75">
        <f t="shared" si="1"/>
        <v>0.2933615671511729</v>
      </c>
      <c r="J20" s="75">
        <f t="shared" si="1"/>
        <v>0.35095550559447869</v>
      </c>
      <c r="Q20" s="49"/>
    </row>
    <row r="21" spans="1:17" ht="12.75">
      <c r="A21" s="82">
        <v>36.799999999999997</v>
      </c>
      <c r="B21" s="31" t="s">
        <v>156</v>
      </c>
      <c r="C21" s="39">
        <v>1</v>
      </c>
      <c r="D21" s="65">
        <v>69.2</v>
      </c>
      <c r="E21" s="65">
        <v>59.9</v>
      </c>
      <c r="F21" s="65">
        <v>72</v>
      </c>
      <c r="H21" s="75">
        <f t="shared" si="2"/>
        <v>0.21466150486400634</v>
      </c>
      <c r="I21" s="75">
        <f t="shared" si="1"/>
        <v>0.18581248759182054</v>
      </c>
      <c r="J21" s="75">
        <f t="shared" si="1"/>
        <v>0.22334723049434188</v>
      </c>
      <c r="Q21" s="49"/>
    </row>
    <row r="22" spans="1:17" ht="12.75">
      <c r="A22" s="82">
        <v>47.119050000000001</v>
      </c>
      <c r="B22" s="31" t="s">
        <v>157</v>
      </c>
      <c r="C22" s="39"/>
      <c r="D22" s="65">
        <v>121.3</v>
      </c>
      <c r="E22" s="65">
        <v>257.8</v>
      </c>
      <c r="F22" s="65">
        <v>261.3</v>
      </c>
      <c r="H22" s="79">
        <f>+D22*1000/($A22*24*365)</f>
        <v>0.29387332646711511</v>
      </c>
      <c r="I22" s="79">
        <f>+E22*1000/($A22*24*365)</f>
        <v>0.62457166993588031</v>
      </c>
      <c r="J22" s="79">
        <f t="shared" si="1"/>
        <v>0.63305111464020758</v>
      </c>
      <c r="K22" s="8" t="s">
        <v>339</v>
      </c>
      <c r="Q22" s="49"/>
    </row>
    <row r="23" spans="1:17" ht="12.75">
      <c r="A23" s="82">
        <v>40</v>
      </c>
      <c r="B23" s="31" t="s">
        <v>159</v>
      </c>
      <c r="C23" s="39"/>
      <c r="D23" s="65">
        <v>89</v>
      </c>
      <c r="E23" s="65">
        <v>80.400000000000006</v>
      </c>
      <c r="F23" s="65">
        <v>90.8</v>
      </c>
      <c r="H23" s="75">
        <f t="shared" si="2"/>
        <v>0.25399543378995432</v>
      </c>
      <c r="I23" s="75">
        <f t="shared" si="1"/>
        <v>0.22945205479452055</v>
      </c>
      <c r="J23" s="75">
        <f t="shared" si="1"/>
        <v>0.2591324200913242</v>
      </c>
      <c r="Q23" s="49"/>
    </row>
    <row r="24" spans="1:17" ht="12.75">
      <c r="A24" s="82">
        <v>70</v>
      </c>
      <c r="B24" s="31" t="s">
        <v>160</v>
      </c>
      <c r="C24" s="39"/>
      <c r="D24" s="65">
        <v>173.8</v>
      </c>
      <c r="E24" s="65">
        <v>153.9</v>
      </c>
      <c r="F24" s="65">
        <v>156.30000000000001</v>
      </c>
      <c r="H24" s="75">
        <f t="shared" si="2"/>
        <v>0.28343118069145468</v>
      </c>
      <c r="I24" s="75">
        <f t="shared" si="1"/>
        <v>0.25097847358121333</v>
      </c>
      <c r="J24" s="75">
        <f t="shared" si="1"/>
        <v>0.25489236790606656</v>
      </c>
      <c r="Q24" s="49"/>
    </row>
    <row r="25" spans="1:17" ht="12.75">
      <c r="A25" s="82">
        <f>156.4+32.2</f>
        <v>188.60000000000002</v>
      </c>
      <c r="B25" s="31" t="s">
        <v>251</v>
      </c>
      <c r="C25" s="39"/>
      <c r="D25" s="65">
        <v>307.89999999999998</v>
      </c>
      <c r="E25" s="65">
        <v>287.60000000000002</v>
      </c>
      <c r="F25" s="65">
        <v>361.9</v>
      </c>
      <c r="H25" s="75">
        <f t="shared" si="2"/>
        <v>0.18636480289758225</v>
      </c>
      <c r="I25" s="75">
        <f t="shared" si="1"/>
        <v>0.1740776788351564</v>
      </c>
      <c r="J25" s="75">
        <f t="shared" si="1"/>
        <v>0.21904976345772983</v>
      </c>
      <c r="Q25" s="49"/>
    </row>
    <row r="26" spans="1:17" ht="12.75">
      <c r="A26" s="82">
        <v>119.6</v>
      </c>
      <c r="B26" s="31" t="s">
        <v>163</v>
      </c>
      <c r="C26" s="39"/>
      <c r="D26" s="65">
        <v>197.5</v>
      </c>
      <c r="E26" s="65">
        <v>166.1</v>
      </c>
      <c r="F26" s="65">
        <v>212.1</v>
      </c>
      <c r="H26" s="75">
        <f t="shared" si="2"/>
        <v>0.18850888043860053</v>
      </c>
      <c r="I26" s="75">
        <f t="shared" si="1"/>
        <v>0.15853835463722302</v>
      </c>
      <c r="J26" s="75">
        <f t="shared" si="1"/>
        <v>0.20244422046089708</v>
      </c>
      <c r="Q26" s="49"/>
    </row>
    <row r="27" spans="1:17" ht="12.75">
      <c r="A27" s="82">
        <v>10</v>
      </c>
      <c r="B27" s="31" t="s">
        <v>164</v>
      </c>
      <c r="C27" s="39"/>
      <c r="D27" s="65">
        <v>42.4</v>
      </c>
      <c r="E27" s="65">
        <v>35</v>
      </c>
      <c r="F27" s="65">
        <v>49.1</v>
      </c>
      <c r="H27" s="79">
        <f t="shared" si="2"/>
        <v>0.48401826484018262</v>
      </c>
      <c r="I27" s="79">
        <f t="shared" si="1"/>
        <v>0.3995433789954338</v>
      </c>
      <c r="J27" s="79">
        <f t="shared" si="1"/>
        <v>0.56050228310502281</v>
      </c>
      <c r="Q27" s="49"/>
    </row>
    <row r="28" spans="1:17" ht="12.75">
      <c r="A28" s="82">
        <v>67.650000000000006</v>
      </c>
      <c r="B28" s="31" t="s">
        <v>165</v>
      </c>
      <c r="C28" s="39"/>
      <c r="D28" s="65">
        <v>121.3</v>
      </c>
      <c r="E28" s="65">
        <v>116.1</v>
      </c>
      <c r="F28" s="65">
        <v>166.6</v>
      </c>
      <c r="H28" s="75">
        <f t="shared" si="2"/>
        <v>0.20468635570540014</v>
      </c>
      <c r="I28" s="75">
        <f t="shared" si="1"/>
        <v>0.19591167269082405</v>
      </c>
      <c r="J28" s="75">
        <f t="shared" si="1"/>
        <v>0.28112734427468805</v>
      </c>
      <c r="Q28" s="49"/>
    </row>
    <row r="29" spans="1:17" ht="12.75">
      <c r="A29" s="82">
        <v>114.07769999999999</v>
      </c>
      <c r="B29" s="31" t="s">
        <v>166</v>
      </c>
      <c r="C29" s="39"/>
      <c r="D29" s="65">
        <v>280.2</v>
      </c>
      <c r="E29" s="65">
        <v>476.5</v>
      </c>
      <c r="F29" s="65"/>
      <c r="H29" s="79">
        <f t="shared" si="2"/>
        <v>0.28039048271365058</v>
      </c>
      <c r="I29" s="79">
        <f t="shared" si="1"/>
        <v>0.4768239293827784</v>
      </c>
      <c r="J29" s="79">
        <f t="shared" si="1"/>
        <v>0</v>
      </c>
      <c r="Q29" s="49"/>
    </row>
    <row r="30" spans="1:17" ht="12.75">
      <c r="A30" s="82">
        <v>18.7</v>
      </c>
      <c r="B30" s="31" t="s">
        <v>167</v>
      </c>
      <c r="C30" s="39"/>
      <c r="D30" s="65">
        <v>44.1</v>
      </c>
      <c r="E30" s="65">
        <v>37.1</v>
      </c>
      <c r="F30" s="65">
        <v>42</v>
      </c>
      <c r="H30" s="75">
        <f>+D30*1000/($A30*24*365)</f>
        <v>0.26921104680975755</v>
      </c>
      <c r="I30" s="75">
        <f>+E30*1000/($A30*24*365)</f>
        <v>0.22647913461773256</v>
      </c>
      <c r="J30" s="75">
        <f>+F30*1000/($A30*24*365)</f>
        <v>0.25639147315215005</v>
      </c>
      <c r="Q30" s="49"/>
    </row>
    <row r="31" spans="1:17" ht="12.75">
      <c r="A31" s="82">
        <v>27.6</v>
      </c>
      <c r="B31" s="31" t="s">
        <v>169</v>
      </c>
      <c r="C31" s="39"/>
      <c r="D31" s="65">
        <v>75.400000000000006</v>
      </c>
      <c r="E31" s="65">
        <v>65</v>
      </c>
      <c r="F31" s="65">
        <v>73.5</v>
      </c>
      <c r="H31" s="75">
        <f t="shared" si="2"/>
        <v>0.31185891072728472</v>
      </c>
      <c r="I31" s="75">
        <f t="shared" si="1"/>
        <v>0.26884388855800406</v>
      </c>
      <c r="J31" s="75">
        <f t="shared" si="1"/>
        <v>0.30400039706174309</v>
      </c>
      <c r="Q31" s="49"/>
    </row>
    <row r="32" spans="1:17" s="42" customFormat="1" ht="12.75" customHeight="1">
      <c r="A32" s="82" t="s">
        <v>340</v>
      </c>
      <c r="B32" s="43" t="s">
        <v>253</v>
      </c>
      <c r="C32" s="44" t="s">
        <v>341</v>
      </c>
      <c r="D32" s="65" t="s">
        <v>255</v>
      </c>
      <c r="E32" s="65" t="s">
        <v>255</v>
      </c>
      <c r="F32" s="65">
        <v>2</v>
      </c>
      <c r="H32" s="75"/>
      <c r="I32" s="75"/>
      <c r="J32" s="75"/>
      <c r="Q32" s="51"/>
    </row>
    <row r="33" spans="1:17" ht="12.75">
      <c r="A33" s="82">
        <v>68</v>
      </c>
      <c r="B33" s="31" t="s">
        <v>252</v>
      </c>
      <c r="C33" s="39"/>
      <c r="D33" s="65">
        <v>170</v>
      </c>
      <c r="E33" s="65">
        <v>157.69999999999999</v>
      </c>
      <c r="F33" s="65">
        <v>180.8</v>
      </c>
      <c r="H33" s="75">
        <f t="shared" si="2"/>
        <v>0.28538812785388129</v>
      </c>
      <c r="I33" s="75">
        <f t="shared" ref="I33:I34" si="3">+E33*1000/($A33*24*365)</f>
        <v>0.26473945742680632</v>
      </c>
      <c r="J33" s="75">
        <f t="shared" ref="J33:J34" si="4">+F33*1000/($A33*24*365)</f>
        <v>0.303518667741069</v>
      </c>
      <c r="Q33" s="49"/>
    </row>
    <row r="34" spans="1:17">
      <c r="A34" s="83">
        <f>SUM(A16:A33)</f>
        <v>1247.74675</v>
      </c>
      <c r="B34" s="23" t="s">
        <v>256</v>
      </c>
      <c r="C34" s="38"/>
      <c r="D34" s="69">
        <f>SUM(D16:D32)</f>
        <v>2506.1999999999998</v>
      </c>
      <c r="E34" s="69">
        <f>SUM(E16:E32)</f>
        <v>2732.4</v>
      </c>
      <c r="F34" s="69">
        <f>SUM(F16:F32)</f>
        <v>2593.1849999999995</v>
      </c>
      <c r="H34" s="75">
        <f t="shared" si="2"/>
        <v>0.2292900305378146</v>
      </c>
      <c r="I34" s="75">
        <f t="shared" si="3"/>
        <v>0.24998486930074401</v>
      </c>
      <c r="J34" s="75">
        <f t="shared" si="4"/>
        <v>0.23724821157138404</v>
      </c>
      <c r="Q34" s="49"/>
    </row>
    <row r="35" spans="1:17">
      <c r="A35" s="8">
        <v>14</v>
      </c>
      <c r="B35" s="36" t="s">
        <v>257</v>
      </c>
      <c r="C35" s="30"/>
      <c r="D35" s="68">
        <v>34.700000000000003</v>
      </c>
      <c r="E35" s="68">
        <v>30.4</v>
      </c>
      <c r="F35" s="68">
        <v>33.299999999999997</v>
      </c>
      <c r="H35" s="75">
        <f t="shared" ref="H35:H65" si="5">+D35*1000/($A35*24*365)</f>
        <v>0.28294194390084804</v>
      </c>
      <c r="I35" s="75">
        <f t="shared" ref="I35:I65" si="6">+E35*1000/($A35*24*365)</f>
        <v>0.24787997390737115</v>
      </c>
      <c r="J35" s="75">
        <f t="shared" ref="J35:J65" si="7">+F35*1000/($A35*24*365)</f>
        <v>0.27152641878669276</v>
      </c>
    </row>
    <row r="36" spans="1:17">
      <c r="A36" s="8">
        <v>46</v>
      </c>
      <c r="B36" s="31" t="s">
        <v>175</v>
      </c>
      <c r="C36" s="30"/>
      <c r="D36" s="65">
        <f>99.2+19</f>
        <v>118.2</v>
      </c>
      <c r="E36" s="65">
        <v>80.7</v>
      </c>
      <c r="F36" s="65">
        <v>75.5</v>
      </c>
      <c r="H36" s="75">
        <f t="shared" si="5"/>
        <v>0.29332936271590232</v>
      </c>
      <c r="I36" s="75">
        <f t="shared" si="6"/>
        <v>0.20026801667659322</v>
      </c>
      <c r="J36" s="75">
        <f t="shared" si="7"/>
        <v>0.187363510025809</v>
      </c>
    </row>
    <row r="37" spans="1:17">
      <c r="A37" s="8">
        <v>27.6</v>
      </c>
      <c r="B37" s="31" t="s">
        <v>177</v>
      </c>
      <c r="C37" s="30"/>
      <c r="D37" s="65">
        <v>74.400000000000006</v>
      </c>
      <c r="E37" s="65">
        <v>62.1</v>
      </c>
      <c r="F37" s="65">
        <v>51.6</v>
      </c>
      <c r="H37" s="75">
        <f t="shared" si="5"/>
        <v>0.30772285090331541</v>
      </c>
      <c r="I37" s="75">
        <f t="shared" si="6"/>
        <v>0.25684931506849312</v>
      </c>
      <c r="J37" s="75">
        <f t="shared" si="7"/>
        <v>0.21342068691681554</v>
      </c>
      <c r="Q37" s="49"/>
    </row>
    <row r="38" spans="1:17">
      <c r="A38" s="8">
        <v>18</v>
      </c>
      <c r="B38" s="31" t="s">
        <v>258</v>
      </c>
      <c r="C38" s="30" t="s">
        <v>342</v>
      </c>
      <c r="D38" s="65">
        <v>51.5</v>
      </c>
      <c r="E38" s="65">
        <v>49.9</v>
      </c>
      <c r="F38" s="65">
        <v>48.8</v>
      </c>
      <c r="H38" s="75">
        <f t="shared" si="5"/>
        <v>0.32661085743277524</v>
      </c>
      <c r="I38" s="75">
        <f t="shared" si="6"/>
        <v>0.31646372399797057</v>
      </c>
      <c r="J38" s="75">
        <f t="shared" si="7"/>
        <v>0.30948756976154235</v>
      </c>
      <c r="Q38" s="49"/>
    </row>
    <row r="39" spans="1:17">
      <c r="A39" s="8">
        <v>34.5</v>
      </c>
      <c r="B39" s="31" t="s">
        <v>178</v>
      </c>
      <c r="C39" s="30"/>
      <c r="D39" s="65">
        <v>93.8</v>
      </c>
      <c r="E39" s="65">
        <v>92</v>
      </c>
      <c r="F39" s="65">
        <v>97</v>
      </c>
      <c r="H39" s="75">
        <f t="shared" si="5"/>
        <v>0.31036992919065581</v>
      </c>
      <c r="I39" s="75">
        <f t="shared" si="6"/>
        <v>0.30441400304414001</v>
      </c>
      <c r="J39" s="75">
        <f t="shared" si="7"/>
        <v>0.32095824234001719</v>
      </c>
    </row>
    <row r="40" spans="1:17">
      <c r="A40" s="17">
        <f>SUM(A35:A39)</f>
        <v>140.1</v>
      </c>
      <c r="B40" s="37" t="s">
        <v>260</v>
      </c>
      <c r="C40" s="38"/>
      <c r="D40" s="69">
        <f>SUM(D35:D38)</f>
        <v>278.8</v>
      </c>
      <c r="E40" s="69">
        <f>SUM(E35:E38)</f>
        <v>223.1</v>
      </c>
      <c r="F40" s="69">
        <f>SUM(F35:F38)</f>
        <v>209.2</v>
      </c>
      <c r="H40" s="75">
        <f t="shared" si="5"/>
        <v>0.22716976458433152</v>
      </c>
      <c r="I40" s="75">
        <f t="shared" si="6"/>
        <v>0.18178470042598407</v>
      </c>
      <c r="J40" s="75">
        <f t="shared" si="7"/>
        <v>0.17045880470244676</v>
      </c>
      <c r="Q40" s="49"/>
    </row>
    <row r="41" spans="1:17">
      <c r="A41" s="8">
        <v>34.35</v>
      </c>
      <c r="B41" s="31" t="s">
        <v>261</v>
      </c>
      <c r="C41" s="39"/>
      <c r="D41" s="65">
        <v>81.3</v>
      </c>
      <c r="E41" s="65">
        <v>76.8</v>
      </c>
      <c r="F41" s="65">
        <v>73.8</v>
      </c>
      <c r="H41" s="75">
        <f t="shared" si="5"/>
        <v>0.27018404418655656</v>
      </c>
      <c r="I41" s="75">
        <f t="shared" si="6"/>
        <v>0.25522920779246672</v>
      </c>
      <c r="J41" s="75">
        <f t="shared" si="7"/>
        <v>0.24525931686307348</v>
      </c>
      <c r="Q41" s="49"/>
    </row>
    <row r="42" spans="1:17">
      <c r="A42" s="8">
        <v>48</v>
      </c>
      <c r="B42" s="31" t="s">
        <v>181</v>
      </c>
      <c r="C42" s="39"/>
      <c r="D42" s="65">
        <v>105.4</v>
      </c>
      <c r="E42" s="65">
        <v>101.3</v>
      </c>
      <c r="F42" s="65">
        <v>106.1</v>
      </c>
      <c r="H42" s="75">
        <f t="shared" si="5"/>
        <v>0.25066590563165908</v>
      </c>
      <c r="I42" s="75">
        <f t="shared" si="6"/>
        <v>0.24091514459665145</v>
      </c>
      <c r="J42" s="75">
        <f t="shared" si="7"/>
        <v>0.2523306697108067</v>
      </c>
      <c r="Q42" s="49"/>
    </row>
    <row r="43" spans="1:17">
      <c r="A43" s="8">
        <v>27.93</v>
      </c>
      <c r="B43" s="31" t="s">
        <v>262</v>
      </c>
      <c r="C43" s="39" t="s">
        <v>263</v>
      </c>
      <c r="D43" s="65">
        <v>80.8</v>
      </c>
      <c r="E43" s="65">
        <v>73.63636363636364</v>
      </c>
      <c r="F43" s="65">
        <v>76.599999999999994</v>
      </c>
      <c r="H43" s="75">
        <f t="shared" si="5"/>
        <v>0.33024505163757406</v>
      </c>
      <c r="I43" s="75">
        <f t="shared" si="6"/>
        <v>0.30096589989472888</v>
      </c>
      <c r="J43" s="75">
        <f t="shared" si="7"/>
        <v>0.31307884845839323</v>
      </c>
      <c r="Q43" s="49"/>
    </row>
    <row r="44" spans="1:17">
      <c r="A44" s="8">
        <v>41.4</v>
      </c>
      <c r="B44" s="31" t="s">
        <v>185</v>
      </c>
      <c r="C44" s="39"/>
      <c r="D44" s="65">
        <v>112.8</v>
      </c>
      <c r="E44" s="65">
        <v>101.7</v>
      </c>
      <c r="F44" s="65">
        <v>107.5</v>
      </c>
      <c r="H44" s="75">
        <f t="shared" si="5"/>
        <v>0.31103169876249093</v>
      </c>
      <c r="I44" s="75">
        <f t="shared" si="6"/>
        <v>0.28042485606511819</v>
      </c>
      <c r="J44" s="75">
        <f t="shared" si="7"/>
        <v>0.29641762071779942</v>
      </c>
      <c r="Q44" s="49"/>
    </row>
    <row r="45" spans="1:17">
      <c r="A45" s="8">
        <v>6</v>
      </c>
      <c r="B45" s="31" t="s">
        <v>186</v>
      </c>
      <c r="C45" s="39"/>
      <c r="D45" s="65">
        <v>14.9</v>
      </c>
      <c r="E45" s="65">
        <v>13.9</v>
      </c>
      <c r="F45" s="65">
        <v>20.9</v>
      </c>
      <c r="H45" s="75">
        <f t="shared" si="5"/>
        <v>0.2834855403348554</v>
      </c>
      <c r="I45" s="75">
        <f t="shared" si="6"/>
        <v>0.26445966514459668</v>
      </c>
      <c r="J45" s="75">
        <f t="shared" si="7"/>
        <v>0.39764079147640791</v>
      </c>
      <c r="Q45" s="49"/>
    </row>
    <row r="46" spans="1:17">
      <c r="A46" s="8">
        <v>3</v>
      </c>
      <c r="B46" s="31" t="s">
        <v>187</v>
      </c>
      <c r="C46" s="39"/>
      <c r="D46" s="65">
        <v>9.6</v>
      </c>
      <c r="E46" s="65">
        <v>8.1999999999999993</v>
      </c>
      <c r="F46" s="65">
        <v>7.6</v>
      </c>
      <c r="H46" s="75">
        <f t="shared" si="5"/>
        <v>0.36529680365296802</v>
      </c>
      <c r="I46" s="75">
        <f t="shared" si="6"/>
        <v>0.31202435312024351</v>
      </c>
      <c r="J46" s="75">
        <f t="shared" si="7"/>
        <v>0.28919330289193301</v>
      </c>
      <c r="Q46" s="49"/>
    </row>
    <row r="47" spans="1:17">
      <c r="A47" s="8">
        <v>11.88</v>
      </c>
      <c r="B47" s="31" t="s">
        <v>188</v>
      </c>
      <c r="C47" s="39"/>
      <c r="D47" s="65">
        <v>32</v>
      </c>
      <c r="E47" s="65">
        <v>30</v>
      </c>
      <c r="F47" s="65">
        <v>33.4</v>
      </c>
      <c r="H47" s="75">
        <f t="shared" si="5"/>
        <v>0.30748889196377782</v>
      </c>
      <c r="I47" s="75">
        <f t="shared" si="6"/>
        <v>0.28827083621604171</v>
      </c>
      <c r="J47" s="75">
        <f t="shared" si="7"/>
        <v>0.32094153098719308</v>
      </c>
      <c r="Q47" s="49"/>
    </row>
    <row r="48" spans="1:17">
      <c r="A48" s="8">
        <v>18.399999999999999</v>
      </c>
      <c r="B48" s="31" t="s">
        <v>189</v>
      </c>
      <c r="C48" s="39"/>
      <c r="D48" s="65">
        <v>61</v>
      </c>
      <c r="E48" s="65">
        <v>51.5</v>
      </c>
      <c r="F48" s="65">
        <v>53.3</v>
      </c>
      <c r="H48" s="75">
        <f t="shared" si="5"/>
        <v>0.37844947389319039</v>
      </c>
      <c r="I48" s="75">
        <f t="shared" si="6"/>
        <v>0.31951062140162795</v>
      </c>
      <c r="J48" s="75">
        <f t="shared" si="7"/>
        <v>0.33067798292634504</v>
      </c>
      <c r="Q48" s="49"/>
    </row>
    <row r="49" spans="1:17">
      <c r="A49" s="8">
        <v>28.5</v>
      </c>
      <c r="B49" s="31" t="s">
        <v>190</v>
      </c>
      <c r="C49" s="39"/>
      <c r="D49" s="65">
        <v>76.400000000000006</v>
      </c>
      <c r="E49" s="65">
        <v>65.2</v>
      </c>
      <c r="F49" s="65">
        <v>72.8</v>
      </c>
      <c r="H49" s="75">
        <f t="shared" si="5"/>
        <v>0.30601618200753022</v>
      </c>
      <c r="I49" s="75">
        <f t="shared" si="6"/>
        <v>0.26115517103260433</v>
      </c>
      <c r="J49" s="75">
        <f t="shared" si="7"/>
        <v>0.29159657133701833</v>
      </c>
      <c r="Q49" s="49"/>
    </row>
    <row r="50" spans="1:17">
      <c r="A50" s="8">
        <v>11.05</v>
      </c>
      <c r="B50" s="31" t="s">
        <v>191</v>
      </c>
      <c r="C50" s="39"/>
      <c r="D50" s="65">
        <v>27.3</v>
      </c>
      <c r="E50" s="65">
        <v>26.8</v>
      </c>
      <c r="F50" s="65">
        <v>26.9</v>
      </c>
      <c r="H50" s="75">
        <f t="shared" si="5"/>
        <v>0.28203062046736499</v>
      </c>
      <c r="I50" s="75">
        <f t="shared" si="6"/>
        <v>0.27686522448810924</v>
      </c>
      <c r="J50" s="75">
        <f t="shared" si="7"/>
        <v>0.27789830368396035</v>
      </c>
      <c r="Q50" s="49"/>
    </row>
    <row r="51" spans="1:17">
      <c r="A51" s="8">
        <v>66</v>
      </c>
      <c r="B51" s="31" t="s">
        <v>264</v>
      </c>
      <c r="C51" s="39"/>
      <c r="D51" s="65">
        <v>199.9</v>
      </c>
      <c r="E51" s="65">
        <v>205.4</v>
      </c>
      <c r="F51" s="65">
        <v>198.1</v>
      </c>
      <c r="H51" s="75">
        <f t="shared" si="5"/>
        <v>0.34575204095752043</v>
      </c>
      <c r="I51" s="75">
        <f t="shared" si="6"/>
        <v>0.35526497855264977</v>
      </c>
      <c r="J51" s="75">
        <f t="shared" si="7"/>
        <v>0.34263871592638717</v>
      </c>
      <c r="Q51" s="49"/>
    </row>
    <row r="52" spans="1:17">
      <c r="A52" s="8">
        <v>27</v>
      </c>
      <c r="B52" s="31" t="s">
        <v>265</v>
      </c>
      <c r="C52" s="39"/>
      <c r="D52" s="65">
        <v>88.9</v>
      </c>
      <c r="E52" s="65">
        <f>365.9/2</f>
        <v>182.95</v>
      </c>
      <c r="F52" s="65">
        <v>146.44999999999999</v>
      </c>
      <c r="H52" s="79">
        <f t="shared" si="5"/>
        <v>0.37586673431422291</v>
      </c>
      <c r="I52" s="79">
        <f t="shared" si="6"/>
        <v>0.77350752579063087</v>
      </c>
      <c r="J52" s="79">
        <f t="shared" si="7"/>
        <v>0.61918653813630986</v>
      </c>
      <c r="K52" s="8" t="s">
        <v>343</v>
      </c>
      <c r="Q52" s="49"/>
    </row>
    <row r="53" spans="1:17">
      <c r="A53" s="8">
        <v>15</v>
      </c>
      <c r="B53" s="31" t="s">
        <v>195</v>
      </c>
      <c r="C53" s="39"/>
      <c r="D53" s="65">
        <v>40.9</v>
      </c>
      <c r="E53" s="65">
        <v>37.799999999999997</v>
      </c>
      <c r="F53" s="65">
        <v>35.299999999999997</v>
      </c>
      <c r="H53" s="75">
        <f t="shared" si="5"/>
        <v>0.31126331811263319</v>
      </c>
      <c r="I53" s="75">
        <f t="shared" si="6"/>
        <v>0.28767123287671231</v>
      </c>
      <c r="J53" s="75">
        <f t="shared" si="7"/>
        <v>0.26864535768645359</v>
      </c>
      <c r="Q53" s="49"/>
    </row>
    <row r="54" spans="1:17">
      <c r="A54" s="8">
        <v>25</v>
      </c>
      <c r="B54" s="31" t="s">
        <v>196</v>
      </c>
      <c r="C54" s="39"/>
      <c r="D54" s="65">
        <v>58.5</v>
      </c>
      <c r="E54" s="65">
        <v>59.7</v>
      </c>
      <c r="F54" s="65">
        <v>59.6</v>
      </c>
      <c r="H54" s="75">
        <f t="shared" si="5"/>
        <v>0.26712328767123289</v>
      </c>
      <c r="I54" s="75">
        <f t="shared" si="6"/>
        <v>0.27260273972602739</v>
      </c>
      <c r="J54" s="75">
        <f t="shared" si="7"/>
        <v>0.27214611872146116</v>
      </c>
      <c r="Q54" s="49"/>
    </row>
    <row r="55" spans="1:17">
      <c r="A55" s="8">
        <v>6</v>
      </c>
      <c r="B55" s="31" t="s">
        <v>267</v>
      </c>
      <c r="C55" s="39"/>
      <c r="D55" s="65">
        <v>14</v>
      </c>
      <c r="E55" s="65">
        <v>14.4</v>
      </c>
      <c r="F55" s="65">
        <v>18.7</v>
      </c>
      <c r="H55" s="75">
        <f t="shared" si="5"/>
        <v>0.26636225266362251</v>
      </c>
      <c r="I55" s="75">
        <f t="shared" si="6"/>
        <v>0.27397260273972601</v>
      </c>
      <c r="J55" s="75">
        <f t="shared" si="7"/>
        <v>0.35578386605783868</v>
      </c>
      <c r="Q55" s="49"/>
    </row>
    <row r="56" spans="1:17">
      <c r="A56" s="8">
        <v>20.7</v>
      </c>
      <c r="B56" s="31" t="s">
        <v>198</v>
      </c>
      <c r="C56" s="39"/>
      <c r="D56" s="65">
        <v>61.1</v>
      </c>
      <c r="E56" s="65">
        <v>50.8</v>
      </c>
      <c r="F56" s="65">
        <v>10.5</v>
      </c>
      <c r="H56" s="75">
        <f t="shared" si="5"/>
        <v>0.33695100699269853</v>
      </c>
      <c r="I56" s="75">
        <f t="shared" si="6"/>
        <v>0.28014911874352022</v>
      </c>
      <c r="J56" s="75">
        <f t="shared" si="7"/>
        <v>5.7904837535570124E-2</v>
      </c>
      <c r="Q56" s="49"/>
    </row>
    <row r="57" spans="1:17">
      <c r="A57" s="8">
        <v>6.9</v>
      </c>
      <c r="B57" s="31" t="s">
        <v>269</v>
      </c>
      <c r="C57" s="39"/>
      <c r="D57" s="65">
        <v>39.200000000000003</v>
      </c>
      <c r="E57" s="65">
        <v>41.6</v>
      </c>
      <c r="F57" s="65">
        <v>45.2</v>
      </c>
      <c r="H57" s="79">
        <f t="shared" si="5"/>
        <v>0.64853418039838517</v>
      </c>
      <c r="I57" s="79">
        <f t="shared" si="6"/>
        <v>0.68824035470849043</v>
      </c>
      <c r="J57" s="79">
        <f t="shared" si="7"/>
        <v>0.74779961617364821</v>
      </c>
      <c r="K57" s="8" t="s">
        <v>344</v>
      </c>
      <c r="Q57" s="49"/>
    </row>
    <row r="58" spans="1:17">
      <c r="A58" s="8">
        <f>72.4+9.2</f>
        <v>81.600000000000009</v>
      </c>
      <c r="B58" s="31" t="s">
        <v>199</v>
      </c>
      <c r="C58" s="39"/>
      <c r="D58" s="65">
        <v>177.3</v>
      </c>
      <c r="E58" s="65">
        <v>170.7</v>
      </c>
      <c r="F58" s="65">
        <v>187.1</v>
      </c>
      <c r="H58" s="75">
        <f t="shared" si="5"/>
        <v>0.24803585817888799</v>
      </c>
      <c r="I58" s="75">
        <f t="shared" si="6"/>
        <v>0.2388027128659683</v>
      </c>
      <c r="J58" s="75">
        <f t="shared" si="7"/>
        <v>0.2617456800071627</v>
      </c>
      <c r="Q58" s="49"/>
    </row>
    <row r="59" spans="1:17">
      <c r="A59" s="8">
        <v>15.9</v>
      </c>
      <c r="B59" s="31" t="s">
        <v>268</v>
      </c>
      <c r="C59" s="39" t="s">
        <v>263</v>
      </c>
      <c r="D59" s="65">
        <v>45.8</v>
      </c>
      <c r="E59" s="65">
        <v>31.745454545454546</v>
      </c>
      <c r="F59" s="65">
        <v>37</v>
      </c>
      <c r="H59" s="75">
        <f t="shared" si="5"/>
        <v>0.3288245598920192</v>
      </c>
      <c r="I59" s="75">
        <f t="shared" si="6"/>
        <v>0.22791888907164173</v>
      </c>
      <c r="J59" s="75">
        <f t="shared" si="7"/>
        <v>0.26564429510927312</v>
      </c>
      <c r="Q59" s="49"/>
    </row>
    <row r="60" spans="1:17">
      <c r="A60" s="8">
        <v>7.5</v>
      </c>
      <c r="B60" s="31" t="s">
        <v>204</v>
      </c>
      <c r="C60" s="39"/>
      <c r="D60" s="65">
        <v>20.5</v>
      </c>
      <c r="E60" s="65">
        <v>19.2</v>
      </c>
      <c r="F60" s="65">
        <v>19.899999999999999</v>
      </c>
      <c r="H60" s="75">
        <f t="shared" si="5"/>
        <v>0.31202435312024351</v>
      </c>
      <c r="I60" s="75">
        <f t="shared" si="6"/>
        <v>0.29223744292237441</v>
      </c>
      <c r="J60" s="75">
        <f t="shared" si="7"/>
        <v>0.30289193302891931</v>
      </c>
      <c r="Q60" s="49"/>
    </row>
    <row r="61" spans="1:17">
      <c r="A61" s="8">
        <v>12.5</v>
      </c>
      <c r="B61" s="31" t="s">
        <v>205</v>
      </c>
      <c r="C61" s="39"/>
      <c r="D61" s="65">
        <v>44.7</v>
      </c>
      <c r="E61" s="65">
        <v>40.5</v>
      </c>
      <c r="F61" s="65">
        <v>44.5</v>
      </c>
      <c r="H61" s="79">
        <f t="shared" si="5"/>
        <v>0.40821917808219177</v>
      </c>
      <c r="I61" s="79">
        <f t="shared" si="6"/>
        <v>0.36986301369863012</v>
      </c>
      <c r="J61" s="79">
        <f t="shared" si="7"/>
        <v>0.40639269406392692</v>
      </c>
      <c r="Q61" s="49"/>
    </row>
    <row r="62" spans="1:17">
      <c r="A62" s="8">
        <v>27</v>
      </c>
      <c r="B62" s="31" t="s">
        <v>206</v>
      </c>
      <c r="C62" s="39"/>
      <c r="D62" s="65">
        <v>71.400000000000006</v>
      </c>
      <c r="E62" s="65">
        <v>63.7</v>
      </c>
      <c r="F62" s="65">
        <v>64.599999999999994</v>
      </c>
      <c r="H62" s="75">
        <f t="shared" si="5"/>
        <v>0.30187721968543885</v>
      </c>
      <c r="I62" s="75">
        <f t="shared" si="6"/>
        <v>0.2693218332487739</v>
      </c>
      <c r="J62" s="75">
        <f t="shared" si="7"/>
        <v>0.27312700828682562</v>
      </c>
      <c r="Q62" s="49"/>
    </row>
    <row r="63" spans="1:17">
      <c r="A63" s="8">
        <f>7.5+19.5</f>
        <v>27</v>
      </c>
      <c r="B63" s="31" t="s">
        <v>345</v>
      </c>
      <c r="C63" s="39"/>
      <c r="D63" s="65">
        <v>67.400000000000006</v>
      </c>
      <c r="E63" s="65">
        <v>56.5</v>
      </c>
      <c r="F63" s="65">
        <v>63.5</v>
      </c>
      <c r="H63" s="75">
        <f t="shared" si="5"/>
        <v>0.28496533062743107</v>
      </c>
      <c r="I63" s="75">
        <f t="shared" si="6"/>
        <v>0.23888043294435987</v>
      </c>
      <c r="J63" s="75">
        <f t="shared" si="7"/>
        <v>0.26847623879587351</v>
      </c>
      <c r="Q63" s="49"/>
    </row>
    <row r="64" spans="1:17">
      <c r="A64" s="40"/>
      <c r="B64" s="31" t="s">
        <v>208</v>
      </c>
      <c r="C64" s="39"/>
      <c r="D64" s="65"/>
      <c r="E64" s="65"/>
      <c r="F64" s="65"/>
      <c r="I64" s="75"/>
      <c r="J64" s="75"/>
      <c r="Q64" s="49"/>
    </row>
    <row r="65" spans="1:104" s="40" customFormat="1">
      <c r="A65" s="84">
        <f>SUM(A41:A64)</f>
        <v>568.6099999999999</v>
      </c>
      <c r="B65" s="37" t="s">
        <v>271</v>
      </c>
      <c r="C65" s="41"/>
      <c r="D65" s="69">
        <f>SUM(D41:D64)</f>
        <v>1531.1000000000001</v>
      </c>
      <c r="E65" s="69">
        <f>SUM(E41:E64)</f>
        <v>1524.0318181818182</v>
      </c>
      <c r="F65" s="69">
        <f>SUM(F41:F64)</f>
        <v>1509.35</v>
      </c>
      <c r="H65" s="75">
        <f t="shared" si="5"/>
        <v>0.30738661828464348</v>
      </c>
      <c r="I65" s="75">
        <f t="shared" si="6"/>
        <v>0.30596759633538345</v>
      </c>
      <c r="J65" s="75">
        <f t="shared" si="7"/>
        <v>0.30302004591987886</v>
      </c>
      <c r="Q65" s="50"/>
    </row>
    <row r="66" spans="1:104">
      <c r="B66" s="36"/>
      <c r="C66" s="30"/>
      <c r="D66" s="65"/>
      <c r="E66" s="65"/>
      <c r="F66" s="65"/>
      <c r="Q66" s="49"/>
    </row>
    <row r="67" spans="1:104" ht="12.75" thickBot="1">
      <c r="B67" s="23" t="s">
        <v>272</v>
      </c>
      <c r="C67" s="38"/>
      <c r="D67" s="69">
        <f>+SUM(D40,D65,D34)</f>
        <v>4316.1000000000004</v>
      </c>
      <c r="E67" s="69">
        <f>+SUM(E40,E65,E34)</f>
        <v>4479.5318181818184</v>
      </c>
      <c r="F67" s="69">
        <f>SUM(F34,F65,F40)</f>
        <v>4311.7349999999997</v>
      </c>
      <c r="Q67" s="49"/>
    </row>
    <row r="68" spans="1:104" ht="12.75" thickBot="1">
      <c r="B68" s="34" t="s">
        <v>273</v>
      </c>
      <c r="C68" s="45"/>
      <c r="D68" s="70"/>
      <c r="E68" s="70"/>
      <c r="F68" s="70"/>
      <c r="Q68" s="49"/>
    </row>
    <row r="69" spans="1:104">
      <c r="A69" s="8">
        <v>235.20000000000002</v>
      </c>
      <c r="B69" s="36" t="s">
        <v>209</v>
      </c>
      <c r="C69" s="46" t="s">
        <v>274</v>
      </c>
      <c r="D69" s="65">
        <v>953.4</v>
      </c>
      <c r="E69" s="65">
        <v>341</v>
      </c>
      <c r="F69" s="65" t="s">
        <v>255</v>
      </c>
      <c r="H69" s="75">
        <f t="shared" ref="H69:H71" si="8">+D69*1000/($A69*24*365)</f>
        <v>0.46273646444879324</v>
      </c>
      <c r="I69" s="75">
        <f t="shared" ref="I69:I71" si="9">+E69*1000/($A69*24*365)</f>
        <v>0.16550569999689374</v>
      </c>
      <c r="J69" s="75"/>
      <c r="Q69" s="49"/>
    </row>
    <row r="70" spans="1:104">
      <c r="A70" s="8">
        <v>92</v>
      </c>
      <c r="B70" s="36" t="s">
        <v>222</v>
      </c>
      <c r="C70" s="46" t="s">
        <v>346</v>
      </c>
      <c r="D70" s="65">
        <v>351.1</v>
      </c>
      <c r="E70" s="65">
        <v>308.60000000000002</v>
      </c>
      <c r="F70" s="65">
        <v>381.8</v>
      </c>
      <c r="H70" s="75">
        <f t="shared" si="8"/>
        <v>0.43565118125868574</v>
      </c>
      <c r="I70" s="75">
        <f t="shared" si="9"/>
        <v>0.38291641850307723</v>
      </c>
      <c r="J70" s="75">
        <f t="shared" ref="J70:J71" si="10">+F70*1000/($A70*24*365)</f>
        <v>0.47374429223744291</v>
      </c>
      <c r="Q70" s="49"/>
    </row>
    <row r="71" spans="1:104">
      <c r="A71" s="8">
        <v>252</v>
      </c>
      <c r="B71" s="36" t="s">
        <v>214</v>
      </c>
      <c r="C71" s="46"/>
      <c r="D71" s="65">
        <v>939.2</v>
      </c>
      <c r="E71" s="65">
        <v>788.3</v>
      </c>
      <c r="F71" s="65">
        <v>935.2</v>
      </c>
      <c r="H71" s="75">
        <f t="shared" si="8"/>
        <v>0.42545480901645283</v>
      </c>
      <c r="I71" s="75">
        <f t="shared" si="9"/>
        <v>0.35709755744002319</v>
      </c>
      <c r="J71" s="75">
        <f t="shared" si="10"/>
        <v>0.42364282090309485</v>
      </c>
      <c r="Q71" s="49"/>
    </row>
    <row r="72" spans="1:104">
      <c r="B72" s="36" t="s">
        <v>276</v>
      </c>
      <c r="C72" s="46" t="s">
        <v>347</v>
      </c>
      <c r="D72" s="65"/>
      <c r="E72" s="65">
        <v>1.2</v>
      </c>
      <c r="F72" s="65">
        <v>2</v>
      </c>
      <c r="I72" s="75"/>
      <c r="J72" s="75"/>
      <c r="Q72" s="49"/>
    </row>
    <row r="73" spans="1:104">
      <c r="B73" s="23" t="s">
        <v>278</v>
      </c>
      <c r="C73" s="24"/>
      <c r="D73" s="69">
        <f t="shared" ref="D73:F73" si="11">SUM(D69:D72)</f>
        <v>2243.6999999999998</v>
      </c>
      <c r="E73" s="69">
        <f t="shared" si="11"/>
        <v>1439.1000000000001</v>
      </c>
      <c r="F73" s="69">
        <f t="shared" si="11"/>
        <v>1319</v>
      </c>
      <c r="Q73" s="49"/>
    </row>
    <row r="74" spans="1:104" ht="12.75" thickBot="1">
      <c r="B74" s="36"/>
      <c r="C74" s="46"/>
      <c r="D74" s="71"/>
      <c r="E74" s="71"/>
      <c r="F74" s="71"/>
      <c r="Q74" s="49"/>
    </row>
    <row r="75" spans="1:104" ht="12.75" thickBot="1">
      <c r="B75" s="47" t="s">
        <v>279</v>
      </c>
      <c r="C75" s="48"/>
      <c r="D75" s="72">
        <f t="shared" ref="D75:E75" si="12">D67+D73</f>
        <v>6559.8</v>
      </c>
      <c r="E75" s="72">
        <f t="shared" si="12"/>
        <v>5918.6318181818187</v>
      </c>
      <c r="F75" s="72">
        <f t="shared" ref="F75" si="13">F73+F67</f>
        <v>5630.7349999999997</v>
      </c>
      <c r="Q75" s="49"/>
    </row>
    <row r="76" spans="1:104" customFormat="1" ht="15">
      <c r="D76" s="73"/>
      <c r="E76" s="73"/>
      <c r="F76" s="73"/>
      <c r="H76" s="80"/>
    </row>
    <row r="77" spans="1:104" customFormat="1" ht="15">
      <c r="D77" s="73"/>
      <c r="E77" s="73"/>
      <c r="F77" s="73"/>
      <c r="H77" s="80"/>
    </row>
    <row r="78" spans="1:104" s="10" customFormat="1">
      <c r="A78" s="8"/>
      <c r="B78" s="85" t="s">
        <v>117</v>
      </c>
      <c r="C78" s="8"/>
      <c r="D78" s="74"/>
      <c r="E78" s="74"/>
      <c r="F78" s="74"/>
      <c r="G78" s="8"/>
      <c r="H78" s="75"/>
      <c r="I78" s="8"/>
      <c r="J78" s="8"/>
      <c r="K78" s="8"/>
      <c r="L78" s="8"/>
      <c r="M78" s="8"/>
      <c r="N78" s="8"/>
      <c r="O78" s="8"/>
      <c r="P78" s="8"/>
      <c r="Q78" s="8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</row>
    <row r="79" spans="1:104">
      <c r="B79" s="86" t="s">
        <v>280</v>
      </c>
    </row>
    <row r="80" spans="1:104">
      <c r="B80" s="86" t="s">
        <v>348</v>
      </c>
      <c r="D80" s="74">
        <v>58</v>
      </c>
      <c r="E80" s="74">
        <v>68</v>
      </c>
      <c r="F80" s="74">
        <v>90</v>
      </c>
    </row>
    <row r="82" spans="2:2">
      <c r="B82" s="86"/>
    </row>
    <row r="83" spans="2:2">
      <c r="B83" s="86" t="s">
        <v>282</v>
      </c>
    </row>
    <row r="117" spans="2:2">
      <c r="B117" s="86" t="s">
        <v>117</v>
      </c>
    </row>
    <row r="118" spans="2:2">
      <c r="B118" s="86" t="s">
        <v>349</v>
      </c>
    </row>
    <row r="119" spans="2:2">
      <c r="B119" s="86"/>
    </row>
    <row r="120" spans="2:2">
      <c r="B120" s="86"/>
    </row>
  </sheetData>
  <pageMargins left="0.7" right="0.7" top="0.75" bottom="0.75" header="0.3" footer="0.3"/>
  <pageSetup paperSize="9" scale="1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E64D6-E25C-47A9-AC7F-5AEDF7387ADD}">
  <sheetPr>
    <pageSetUpPr fitToPage="1"/>
  </sheetPr>
  <dimension ref="A2:T79"/>
  <sheetViews>
    <sheetView zoomScale="70" zoomScaleNormal="70" workbookViewId="0">
      <selection activeCell="P58" sqref="P58"/>
    </sheetView>
  </sheetViews>
  <sheetFormatPr defaultColWidth="8.28515625" defaultRowHeight="15"/>
  <cols>
    <col min="1" max="1" width="8.28515625" style="315"/>
    <col min="2" max="2" width="26.42578125" style="315" customWidth="1"/>
    <col min="3" max="3" width="16.42578125" style="315" customWidth="1"/>
    <col min="4" max="4" width="24.5703125" style="315" customWidth="1"/>
    <col min="5" max="5" width="3.5703125" style="316" customWidth="1"/>
    <col min="6" max="6" width="19.140625" style="315" customWidth="1"/>
    <col min="7" max="7" width="14.42578125" style="317" customWidth="1"/>
    <col min="8" max="8" width="18.28515625" style="315" customWidth="1"/>
    <col min="9" max="9" width="18.42578125" style="315" customWidth="1"/>
    <col min="10" max="11" width="18.28515625" style="315" customWidth="1"/>
    <col min="12" max="12" width="18.42578125" style="315" customWidth="1"/>
    <col min="13" max="16384" width="8.28515625" style="315"/>
  </cols>
  <sheetData>
    <row r="2" spans="2:12">
      <c r="B2" s="314" t="s">
        <v>350</v>
      </c>
      <c r="C2" s="314"/>
    </row>
    <row r="3" spans="2:12">
      <c r="B3" s="314" t="s">
        <v>351</v>
      </c>
      <c r="C3" s="318">
        <v>43921</v>
      </c>
      <c r="G3" s="315"/>
    </row>
    <row r="4" spans="2:12">
      <c r="G4" s="317" t="s">
        <v>352</v>
      </c>
      <c r="H4" s="317" t="s">
        <v>353</v>
      </c>
      <c r="I4" s="317" t="s">
        <v>354</v>
      </c>
      <c r="J4" s="317" t="s">
        <v>355</v>
      </c>
      <c r="K4" s="317" t="s">
        <v>353</v>
      </c>
      <c r="L4" s="317" t="s">
        <v>354</v>
      </c>
    </row>
    <row r="5" spans="2:12" ht="15.75" thickBot="1">
      <c r="F5" s="319"/>
      <c r="G5" s="320" t="s">
        <v>356</v>
      </c>
      <c r="H5" s="320" t="s">
        <v>356</v>
      </c>
      <c r="I5" s="320" t="s">
        <v>356</v>
      </c>
      <c r="J5" s="320" t="s">
        <v>357</v>
      </c>
      <c r="K5" s="320" t="s">
        <v>357</v>
      </c>
      <c r="L5" s="320" t="s">
        <v>357</v>
      </c>
    </row>
    <row r="6" spans="2:12">
      <c r="B6" s="321" t="s">
        <v>358</v>
      </c>
      <c r="C6" s="322" t="s">
        <v>359</v>
      </c>
      <c r="D6" s="323" t="s">
        <v>360</v>
      </c>
      <c r="E6" s="324"/>
      <c r="F6" s="325" t="s">
        <v>361</v>
      </c>
      <c r="G6" s="326">
        <f>4451.2+(1107+60)*0.5</f>
        <v>5034.7</v>
      </c>
      <c r="H6" s="327">
        <v>872.6</v>
      </c>
      <c r="I6" s="327">
        <f>G6-H6</f>
        <v>4162.0999999999995</v>
      </c>
      <c r="J6" s="328" t="s">
        <v>323</v>
      </c>
      <c r="K6" s="328"/>
      <c r="L6" s="328"/>
    </row>
    <row r="7" spans="2:12" ht="15.75" thickBot="1">
      <c r="B7" s="329"/>
      <c r="C7" s="330"/>
      <c r="D7" s="331">
        <v>6.95</v>
      </c>
      <c r="E7" s="332"/>
      <c r="F7" s="333" t="s">
        <v>362</v>
      </c>
      <c r="G7" s="334">
        <f>+G6*D7/1000</f>
        <v>34.991165000000002</v>
      </c>
      <c r="H7" s="335">
        <f>H6*D7/1000</f>
        <v>6.0645700000000007</v>
      </c>
      <c r="I7" s="335">
        <f>D7*I6/1000</f>
        <v>28.926594999999999</v>
      </c>
      <c r="J7" s="335">
        <f>+G7*0.55</f>
        <v>19.245140750000004</v>
      </c>
      <c r="K7" s="335">
        <f>H7*0.55</f>
        <v>3.3355135000000007</v>
      </c>
      <c r="L7" s="335">
        <f>I7*0.55</f>
        <v>15.909627250000002</v>
      </c>
    </row>
    <row r="8" spans="2:12">
      <c r="B8" s="429" t="s">
        <v>363</v>
      </c>
      <c r="C8" s="336" t="s">
        <v>364</v>
      </c>
      <c r="D8" s="337">
        <v>19.399999999999999</v>
      </c>
      <c r="E8" s="338" t="s">
        <v>365</v>
      </c>
      <c r="F8" s="339" t="s">
        <v>361</v>
      </c>
      <c r="G8" s="340">
        <v>4994</v>
      </c>
      <c r="H8" s="326">
        <v>872.6</v>
      </c>
      <c r="I8" s="326">
        <f>G8-H8</f>
        <v>4121.3999999999996</v>
      </c>
      <c r="J8" s="328" t="s">
        <v>323</v>
      </c>
      <c r="K8" s="341"/>
      <c r="L8" s="341"/>
    </row>
    <row r="9" spans="2:12" ht="15.75" thickBot="1">
      <c r="B9" s="427"/>
      <c r="C9" s="342"/>
      <c r="D9" s="343">
        <v>20.828517000000002</v>
      </c>
      <c r="E9" s="344" t="s">
        <v>366</v>
      </c>
      <c r="F9" s="345" t="s">
        <v>367</v>
      </c>
      <c r="G9" s="346">
        <f>G8*D9/1000</f>
        <v>104.01761389800001</v>
      </c>
      <c r="H9" s="347">
        <f>H8*D9/1000</f>
        <v>18.174963934200001</v>
      </c>
      <c r="I9" s="347">
        <f>I8*D9/1000</f>
        <v>85.8426499638</v>
      </c>
      <c r="J9" s="347">
        <f>+G9*0.55</f>
        <v>57.209687643900011</v>
      </c>
      <c r="K9" s="347">
        <f>H9*0.55</f>
        <v>9.9962301638100008</v>
      </c>
      <c r="L9" s="347">
        <f>I9*0.55</f>
        <v>47.213457480090007</v>
      </c>
    </row>
    <row r="10" spans="2:12">
      <c r="B10" s="427"/>
      <c r="C10" s="348" t="s">
        <v>359</v>
      </c>
      <c r="D10" s="349">
        <v>6</v>
      </c>
      <c r="E10" s="350" t="s">
        <v>365</v>
      </c>
      <c r="F10" s="339" t="s">
        <v>361</v>
      </c>
      <c r="G10" s="351">
        <v>1045</v>
      </c>
      <c r="H10" s="340">
        <v>0</v>
      </c>
      <c r="I10" s="340">
        <f>G10-H10</f>
        <v>1045</v>
      </c>
      <c r="J10" s="352" t="s">
        <v>323</v>
      </c>
      <c r="K10" s="353"/>
      <c r="L10" s="353"/>
    </row>
    <row r="11" spans="2:12" ht="15.75" thickBot="1">
      <c r="B11" s="427"/>
      <c r="C11" s="342"/>
      <c r="D11" s="349">
        <v>6</v>
      </c>
      <c r="E11" s="354" t="s">
        <v>366</v>
      </c>
      <c r="F11" s="345" t="s">
        <v>367</v>
      </c>
      <c r="G11" s="346">
        <f>G10*D10/1000</f>
        <v>6.27</v>
      </c>
      <c r="H11" s="347">
        <f>H10*D11/1000</f>
        <v>0</v>
      </c>
      <c r="I11" s="347">
        <f>I10*D11/1000</f>
        <v>6.27</v>
      </c>
      <c r="J11" s="347">
        <f>K11+L11</f>
        <v>19.194524250000001</v>
      </c>
      <c r="K11" s="347">
        <f>H7*0.45</f>
        <v>2.7290565000000004</v>
      </c>
      <c r="L11" s="347">
        <f>I7*0.45+I11*0.55</f>
        <v>16.465467749999998</v>
      </c>
    </row>
    <row r="12" spans="2:12">
      <c r="B12" s="427"/>
      <c r="C12" s="336" t="s">
        <v>220</v>
      </c>
      <c r="D12" s="355"/>
      <c r="E12" s="356"/>
      <c r="F12" s="357" t="s">
        <v>361</v>
      </c>
      <c r="G12" s="358">
        <f>+G8</f>
        <v>4994</v>
      </c>
      <c r="H12" s="359">
        <f>+H8</f>
        <v>872.6</v>
      </c>
      <c r="I12" s="359">
        <f>+I8</f>
        <v>4121.3999999999996</v>
      </c>
      <c r="J12" s="360" t="s">
        <v>323</v>
      </c>
      <c r="K12" s="360"/>
      <c r="L12" s="360"/>
    </row>
    <row r="13" spans="2:12" ht="15.75" thickBot="1">
      <c r="B13" s="428"/>
      <c r="C13" s="348"/>
      <c r="D13" s="361"/>
      <c r="E13" s="362"/>
      <c r="F13" s="345" t="s">
        <v>367</v>
      </c>
      <c r="G13" s="363">
        <f>+G9+G11</f>
        <v>110.287613898</v>
      </c>
      <c r="H13" s="364">
        <f>+H11+H9</f>
        <v>18.174963934200001</v>
      </c>
      <c r="I13" s="364">
        <f>+I11+I9</f>
        <v>92.112649963799996</v>
      </c>
      <c r="J13" s="364">
        <f>J9+J11</f>
        <v>76.404211893900012</v>
      </c>
      <c r="K13" s="364">
        <f>K9+K11</f>
        <v>12.725286663810001</v>
      </c>
      <c r="L13" s="364">
        <f>L9+L11</f>
        <v>63.678925230090002</v>
      </c>
    </row>
    <row r="14" spans="2:12">
      <c r="B14" s="426" t="s">
        <v>368</v>
      </c>
      <c r="C14" s="365" t="s">
        <v>364</v>
      </c>
      <c r="D14" s="366">
        <v>18</v>
      </c>
      <c r="E14" s="367" t="s">
        <v>365</v>
      </c>
      <c r="F14" s="368" t="s">
        <v>361</v>
      </c>
      <c r="G14" s="340">
        <v>4745</v>
      </c>
      <c r="H14" s="326">
        <v>872.6</v>
      </c>
      <c r="I14" s="326">
        <f>G14-H14</f>
        <v>3872.4</v>
      </c>
      <c r="J14" s="340"/>
      <c r="K14" s="340"/>
      <c r="L14" s="340"/>
    </row>
    <row r="15" spans="2:12" ht="15.75" thickBot="1">
      <c r="B15" s="427"/>
      <c r="C15" s="369"/>
      <c r="D15" s="370">
        <v>19.274678000000002</v>
      </c>
      <c r="E15" s="371" t="s">
        <v>366</v>
      </c>
      <c r="F15" s="372" t="s">
        <v>367</v>
      </c>
      <c r="G15" s="347">
        <f>G14*D15/1000</f>
        <v>91.458347110000005</v>
      </c>
      <c r="H15" s="347">
        <f>H14*D15/1000</f>
        <v>16.819084022800002</v>
      </c>
      <c r="I15" s="347">
        <f>I14*D15/1000</f>
        <v>74.639263087200007</v>
      </c>
      <c r="J15" s="347">
        <f>SUM(K15:L15)</f>
        <v>97.110017164600009</v>
      </c>
      <c r="K15" s="347">
        <f>H9*0.45+H15*0.55</f>
        <v>17.429229982930003</v>
      </c>
      <c r="L15" s="347">
        <f>+I9*0.45+I15*0.55</f>
        <v>79.680787181670013</v>
      </c>
    </row>
    <row r="16" spans="2:12">
      <c r="B16" s="427"/>
      <c r="C16" s="373" t="s">
        <v>359</v>
      </c>
      <c r="D16" s="366"/>
      <c r="E16" s="374"/>
      <c r="F16" s="368" t="s">
        <v>361</v>
      </c>
      <c r="G16" s="340"/>
      <c r="H16" s="375"/>
      <c r="I16" s="375"/>
      <c r="J16" s="375"/>
      <c r="K16" s="375"/>
      <c r="L16" s="375"/>
    </row>
    <row r="17" spans="2:12" ht="15.75" thickBot="1">
      <c r="B17" s="427"/>
      <c r="C17" s="373"/>
      <c r="D17" s="370"/>
      <c r="E17" s="374"/>
      <c r="F17" s="372" t="s">
        <v>367</v>
      </c>
      <c r="G17" s="347">
        <v>0</v>
      </c>
      <c r="H17" s="347"/>
      <c r="I17" s="347"/>
      <c r="J17" s="347">
        <f>SUM(K17:L17)</f>
        <v>2.8214999999999999</v>
      </c>
      <c r="K17" s="347"/>
      <c r="L17" s="347">
        <f>I11*0.45</f>
        <v>2.8214999999999999</v>
      </c>
    </row>
    <row r="18" spans="2:12">
      <c r="B18" s="427"/>
      <c r="C18" s="365" t="s">
        <v>220</v>
      </c>
      <c r="D18" s="366"/>
      <c r="E18" s="367"/>
      <c r="F18" s="368" t="s">
        <v>361</v>
      </c>
      <c r="G18" s="358">
        <f>+G14</f>
        <v>4745</v>
      </c>
      <c r="H18" s="359">
        <f>+H14</f>
        <v>872.6</v>
      </c>
      <c r="I18" s="359">
        <f>+I14</f>
        <v>3872.4</v>
      </c>
      <c r="J18" s="360" t="s">
        <v>323</v>
      </c>
      <c r="K18" s="360"/>
      <c r="L18" s="360"/>
    </row>
    <row r="19" spans="2:12" ht="15.75" thickBot="1">
      <c r="B19" s="428"/>
      <c r="C19" s="373"/>
      <c r="D19" s="376"/>
      <c r="E19" s="374"/>
      <c r="F19" s="377" t="s">
        <v>367</v>
      </c>
      <c r="G19" s="363">
        <f>+G15+G17</f>
        <v>91.458347110000005</v>
      </c>
      <c r="H19" s="364">
        <f>H15+H17</f>
        <v>16.819084022800002</v>
      </c>
      <c r="I19" s="364">
        <f>I15+I17</f>
        <v>74.639263087200007</v>
      </c>
      <c r="J19" s="364">
        <f>J15+J17</f>
        <v>99.93151716460001</v>
      </c>
      <c r="K19" s="364">
        <f>K15+K17</f>
        <v>17.429229982930003</v>
      </c>
      <c r="L19" s="364">
        <f>L15+L17</f>
        <v>82.502287181670013</v>
      </c>
    </row>
    <row r="20" spans="2:12">
      <c r="B20" s="430" t="s">
        <v>369</v>
      </c>
      <c r="C20" s="378" t="s">
        <v>364</v>
      </c>
      <c r="D20" s="379">
        <v>22.5</v>
      </c>
      <c r="E20" s="380" t="s">
        <v>365</v>
      </c>
      <c r="F20" s="381" t="s">
        <v>361</v>
      </c>
      <c r="G20" s="340">
        <v>4830</v>
      </c>
      <c r="H20" s="326">
        <v>872.6</v>
      </c>
      <c r="I20" s="326">
        <f>G20-H20</f>
        <v>3957.4</v>
      </c>
      <c r="J20" s="328" t="s">
        <v>323</v>
      </c>
      <c r="K20" s="328"/>
      <c r="L20" s="328"/>
    </row>
    <row r="21" spans="2:12" ht="15.75" thickBot="1">
      <c r="B21" s="431"/>
      <c r="C21" s="382"/>
      <c r="D21" s="383">
        <v>24.38</v>
      </c>
      <c r="E21" s="384" t="s">
        <v>366</v>
      </c>
      <c r="F21" s="385" t="s">
        <v>362</v>
      </c>
      <c r="G21" s="346">
        <f>G20*D21/1000</f>
        <v>117.75539999999999</v>
      </c>
      <c r="H21" s="347">
        <f>H20*D21/1000</f>
        <v>21.273988000000003</v>
      </c>
      <c r="I21" s="347">
        <f>I20*D21/1000</f>
        <v>96.481411999999992</v>
      </c>
      <c r="J21" s="347">
        <f>SUM(K21:L21)</f>
        <v>105.9217261995</v>
      </c>
      <c r="K21" s="347">
        <f>H15*0.45+H21*0.55</f>
        <v>19.269281210260004</v>
      </c>
      <c r="L21" s="347">
        <f>+I15*0.45+I21*0.55</f>
        <v>86.652444989239996</v>
      </c>
    </row>
    <row r="22" spans="2:12">
      <c r="B22" s="431"/>
      <c r="C22" s="386" t="s">
        <v>359</v>
      </c>
      <c r="D22" s="387"/>
      <c r="E22" s="388"/>
      <c r="F22" s="381" t="s">
        <v>361</v>
      </c>
      <c r="G22" s="389"/>
      <c r="H22" s="390"/>
      <c r="I22" s="390"/>
      <c r="J22" s="390"/>
      <c r="K22" s="375"/>
      <c r="L22" s="375"/>
    </row>
    <row r="23" spans="2:12" ht="15.75" thickBot="1">
      <c r="B23" s="431"/>
      <c r="C23" s="386"/>
      <c r="D23" s="387"/>
      <c r="E23" s="388"/>
      <c r="F23" s="385" t="s">
        <v>367</v>
      </c>
      <c r="G23" s="346"/>
      <c r="H23" s="347"/>
      <c r="I23" s="347"/>
      <c r="J23" s="347"/>
      <c r="K23" s="347"/>
      <c r="L23" s="347"/>
    </row>
    <row r="24" spans="2:12">
      <c r="B24" s="431"/>
      <c r="C24" s="378" t="s">
        <v>220</v>
      </c>
      <c r="D24" s="379"/>
      <c r="E24" s="380"/>
      <c r="F24" s="381" t="s">
        <v>361</v>
      </c>
      <c r="G24" s="358">
        <f>+G20</f>
        <v>4830</v>
      </c>
      <c r="H24" s="359">
        <f>+H20</f>
        <v>872.6</v>
      </c>
      <c r="I24" s="359">
        <f>+I20</f>
        <v>3957.4</v>
      </c>
      <c r="J24" s="391" t="s">
        <v>323</v>
      </c>
      <c r="K24" s="391"/>
      <c r="L24" s="391"/>
    </row>
    <row r="25" spans="2:12" ht="15.75" thickBot="1">
      <c r="B25" s="432"/>
      <c r="C25" s="386"/>
      <c r="D25" s="392"/>
      <c r="E25" s="393"/>
      <c r="F25" s="394" t="s">
        <v>367</v>
      </c>
      <c r="G25" s="363">
        <f>+G21+G23</f>
        <v>117.75539999999999</v>
      </c>
      <c r="H25" s="364">
        <f>H21+H23</f>
        <v>21.273988000000003</v>
      </c>
      <c r="I25" s="364">
        <f>I21+I23</f>
        <v>96.481411999999992</v>
      </c>
      <c r="J25" s="364">
        <f>J21+J23</f>
        <v>105.9217261995</v>
      </c>
      <c r="K25" s="364">
        <f>K21+K23</f>
        <v>19.269281210260004</v>
      </c>
      <c r="L25" s="364">
        <f>L21+L23</f>
        <v>86.652444989239996</v>
      </c>
    </row>
    <row r="26" spans="2:12">
      <c r="B26" s="426" t="s">
        <v>370</v>
      </c>
      <c r="C26" s="365" t="s">
        <v>364</v>
      </c>
      <c r="D26" s="366">
        <v>8.4</v>
      </c>
      <c r="E26" s="395" t="s">
        <v>365</v>
      </c>
      <c r="F26" s="368" t="s">
        <v>361</v>
      </c>
      <c r="G26" s="340">
        <f>4767-21</f>
        <v>4746</v>
      </c>
      <c r="H26" s="326">
        <v>872.6</v>
      </c>
      <c r="I26" s="326">
        <f>G26-H26</f>
        <v>3873.4</v>
      </c>
      <c r="J26" s="390" t="s">
        <v>323</v>
      </c>
      <c r="K26" s="340"/>
      <c r="L26" s="340"/>
    </row>
    <row r="27" spans="2:12" ht="15.75" thickBot="1">
      <c r="B27" s="427"/>
      <c r="C27" s="369"/>
      <c r="D27" s="370">
        <v>9.2100000000000009</v>
      </c>
      <c r="E27" s="396" t="s">
        <v>371</v>
      </c>
      <c r="F27" s="372" t="s">
        <v>367</v>
      </c>
      <c r="G27" s="346">
        <f>G26*D27/1000</f>
        <v>43.710660000000004</v>
      </c>
      <c r="H27" s="347">
        <f>H26*D27/1000</f>
        <v>8.0366460000000011</v>
      </c>
      <c r="I27" s="347">
        <f>I26*D27/1000</f>
        <v>35.674014</v>
      </c>
      <c r="J27" s="397">
        <f>SUM(K27:L27)</f>
        <v>77.030793000000003</v>
      </c>
      <c r="K27" s="347">
        <f>H21*0.45+H27*0.55</f>
        <v>13.993449900000003</v>
      </c>
      <c r="L27" s="347">
        <f>+I21*0.45+I27*0.55</f>
        <v>63.037343100000001</v>
      </c>
    </row>
    <row r="28" spans="2:12">
      <c r="B28" s="427"/>
      <c r="C28" s="365" t="s">
        <v>359</v>
      </c>
      <c r="D28" s="398">
        <v>45</v>
      </c>
      <c r="E28" s="395"/>
      <c r="F28" s="368" t="s">
        <v>361</v>
      </c>
      <c r="G28" s="340">
        <f>+H28+I28</f>
        <v>74.900000000000006</v>
      </c>
      <c r="H28" s="326">
        <v>74.900000000000006</v>
      </c>
      <c r="I28" s="326"/>
      <c r="J28" s="390" t="s">
        <v>323</v>
      </c>
      <c r="K28" s="390"/>
      <c r="L28" s="390"/>
    </row>
    <row r="29" spans="2:12" ht="15.75" thickBot="1">
      <c r="B29" s="427"/>
      <c r="C29" s="369"/>
      <c r="D29" s="399">
        <v>45</v>
      </c>
      <c r="E29" s="396"/>
      <c r="F29" s="372" t="s">
        <v>367</v>
      </c>
      <c r="G29" s="346">
        <f>G28*D29/1000</f>
        <v>3.3705000000000003</v>
      </c>
      <c r="H29" s="347">
        <f>H28*D29/1000</f>
        <v>3.3705000000000003</v>
      </c>
      <c r="I29" s="346"/>
      <c r="J29" s="397">
        <f>SUM(G23*45%)+(G29*55%)</f>
        <v>1.8537750000000004</v>
      </c>
      <c r="K29" s="347">
        <f>H23*0.45+H29*0.55</f>
        <v>1.8537750000000004</v>
      </c>
      <c r="L29" s="347">
        <f>+I23*0.45+I29*0.55</f>
        <v>0</v>
      </c>
    </row>
    <row r="30" spans="2:12">
      <c r="B30" s="427"/>
      <c r="C30" s="365" t="s">
        <v>220</v>
      </c>
      <c r="D30" s="366"/>
      <c r="E30" s="367"/>
      <c r="F30" s="368" t="s">
        <v>361</v>
      </c>
      <c r="G30" s="358">
        <f>+G26</f>
        <v>4746</v>
      </c>
      <c r="H30" s="359">
        <f>+H26</f>
        <v>872.6</v>
      </c>
      <c r="I30" s="359">
        <f>+I26</f>
        <v>3873.4</v>
      </c>
      <c r="J30" s="391" t="s">
        <v>323</v>
      </c>
      <c r="K30" s="391"/>
      <c r="L30" s="391"/>
    </row>
    <row r="31" spans="2:12" ht="15.75" thickBot="1">
      <c r="B31" s="428"/>
      <c r="C31" s="373"/>
      <c r="D31" s="376"/>
      <c r="E31" s="374"/>
      <c r="F31" s="377" t="s">
        <v>367</v>
      </c>
      <c r="G31" s="363">
        <f>+G27+G29</f>
        <v>47.081160000000004</v>
      </c>
      <c r="H31" s="364">
        <f>H27+H29</f>
        <v>11.407146000000001</v>
      </c>
      <c r="I31" s="364">
        <f>I27+I29</f>
        <v>35.674014</v>
      </c>
      <c r="J31" s="364">
        <f>J27+J29</f>
        <v>78.884568000000002</v>
      </c>
      <c r="K31" s="364">
        <f>K27+K29</f>
        <v>15.847224900000004</v>
      </c>
      <c r="L31" s="364">
        <f>L27+L29</f>
        <v>63.037343100000001</v>
      </c>
    </row>
    <row r="32" spans="2:12">
      <c r="B32" s="430" t="s">
        <v>372</v>
      </c>
      <c r="C32" s="378" t="s">
        <v>364</v>
      </c>
      <c r="D32" s="379">
        <v>6.44</v>
      </c>
      <c r="E32" s="380" t="s">
        <v>365</v>
      </c>
      <c r="F32" s="381" t="s">
        <v>361</v>
      </c>
      <c r="G32" s="326">
        <f>3384-25</f>
        <v>3359</v>
      </c>
      <c r="H32" s="326">
        <v>872.6</v>
      </c>
      <c r="I32" s="326">
        <f>G32-H32</f>
        <v>2486.4</v>
      </c>
      <c r="J32" s="390" t="s">
        <v>323</v>
      </c>
      <c r="K32" s="390"/>
      <c r="L32" s="390"/>
    </row>
    <row r="33" spans="2:20" ht="15.75" thickBot="1">
      <c r="B33" s="431"/>
      <c r="C33" s="382"/>
      <c r="D33" s="383">
        <v>6.83</v>
      </c>
      <c r="E33" s="384" t="s">
        <v>371</v>
      </c>
      <c r="F33" s="385" t="s">
        <v>367</v>
      </c>
      <c r="G33" s="346">
        <f>G32*D33/1000</f>
        <v>22.941970000000001</v>
      </c>
      <c r="H33" s="347">
        <f>H32*D33/1000</f>
        <v>5.9598580000000005</v>
      </c>
      <c r="I33" s="347">
        <f>I32*D33/1000</f>
        <v>16.982112000000001</v>
      </c>
      <c r="J33" s="347">
        <f>SUM(K33:L33)</f>
        <v>32.2878805</v>
      </c>
      <c r="K33" s="347">
        <f>H27*0.45+H33*0.55</f>
        <v>6.8944126000000008</v>
      </c>
      <c r="L33" s="347">
        <f>+I27*0.45+I33*0.55</f>
        <v>25.393467900000001</v>
      </c>
    </row>
    <row r="34" spans="2:20">
      <c r="B34" s="431"/>
      <c r="C34" s="386" t="s">
        <v>359</v>
      </c>
      <c r="D34" s="387"/>
      <c r="E34" s="388"/>
      <c r="F34" s="381" t="s">
        <v>361</v>
      </c>
      <c r="G34" s="389"/>
      <c r="H34" s="390"/>
      <c r="I34" s="390"/>
      <c r="J34" s="400"/>
      <c r="K34" s="390"/>
      <c r="L34" s="390"/>
    </row>
    <row r="35" spans="2:20" ht="15.75" thickBot="1">
      <c r="B35" s="431"/>
      <c r="C35" s="386"/>
      <c r="D35" s="387"/>
      <c r="E35" s="388"/>
      <c r="F35" s="385" t="s">
        <v>367</v>
      </c>
      <c r="G35" s="346"/>
      <c r="H35" s="346"/>
      <c r="I35" s="346"/>
      <c r="J35" s="397">
        <f>SUM(G29*45%)+(G35*55%)</f>
        <v>1.5167250000000001</v>
      </c>
      <c r="K35" s="347">
        <f>H29*0.45+H35*0.55</f>
        <v>1.5167250000000001</v>
      </c>
      <c r="L35" s="347">
        <f>+I29*0.45+I35*0.55</f>
        <v>0</v>
      </c>
    </row>
    <row r="36" spans="2:20">
      <c r="B36" s="431"/>
      <c r="C36" s="378" t="s">
        <v>220</v>
      </c>
      <c r="D36" s="379"/>
      <c r="E36" s="380"/>
      <c r="F36" s="381" t="s">
        <v>361</v>
      </c>
      <c r="G36" s="359">
        <f>+G34+G32</f>
        <v>3359</v>
      </c>
      <c r="H36" s="391">
        <f>+H34+H32</f>
        <v>872.6</v>
      </c>
      <c r="I36" s="359">
        <f>+I34+I32</f>
        <v>2486.4</v>
      </c>
      <c r="J36" s="391" t="s">
        <v>323</v>
      </c>
      <c r="K36" s="391"/>
      <c r="L36" s="391"/>
    </row>
    <row r="37" spans="2:20" ht="15.75" thickBot="1">
      <c r="B37" s="432"/>
      <c r="C37" s="401"/>
      <c r="D37" s="383"/>
      <c r="E37" s="402"/>
      <c r="F37" s="385" t="s">
        <v>362</v>
      </c>
      <c r="G37" s="363">
        <f>+G33+G35</f>
        <v>22.941970000000001</v>
      </c>
      <c r="H37" s="364">
        <f>H33+H35</f>
        <v>5.9598580000000005</v>
      </c>
      <c r="I37" s="364">
        <f>I33+I35</f>
        <v>16.982112000000001</v>
      </c>
      <c r="J37" s="364">
        <f>J33+J35</f>
        <v>33.804605500000001</v>
      </c>
      <c r="K37" s="364">
        <f>K33+K35</f>
        <v>8.4111376</v>
      </c>
      <c r="L37" s="364">
        <f>L33+L35</f>
        <v>25.393467900000001</v>
      </c>
      <c r="O37" s="319"/>
      <c r="P37" s="319"/>
      <c r="Q37" s="319"/>
      <c r="R37" s="319"/>
      <c r="S37" s="319"/>
      <c r="T37" s="319"/>
    </row>
    <row r="38" spans="2:20">
      <c r="B38" s="426" t="s">
        <v>373</v>
      </c>
      <c r="C38" s="365" t="s">
        <v>364</v>
      </c>
      <c r="D38" s="398">
        <v>15.97</v>
      </c>
      <c r="E38" s="395" t="s">
        <v>365</v>
      </c>
      <c r="F38" s="368" t="s">
        <v>361</v>
      </c>
      <c r="G38" s="326">
        <f>+I38+H38</f>
        <v>3322.6</v>
      </c>
      <c r="H38" s="326">
        <v>872.6</v>
      </c>
      <c r="I38" s="326">
        <f>3274-21-803</f>
        <v>2450</v>
      </c>
      <c r="J38" s="390" t="s">
        <v>323</v>
      </c>
      <c r="K38" s="390"/>
      <c r="L38" s="390"/>
    </row>
    <row r="39" spans="2:20" ht="15.75" thickBot="1">
      <c r="B39" s="427"/>
      <c r="C39" s="369"/>
      <c r="D39" s="399">
        <v>17.29</v>
      </c>
      <c r="E39" s="396" t="s">
        <v>371</v>
      </c>
      <c r="F39" s="372" t="s">
        <v>367</v>
      </c>
      <c r="G39" s="346">
        <f>G38*D39/1000</f>
        <v>57.447753999999996</v>
      </c>
      <c r="H39" s="347">
        <f>H38*D39/1000</f>
        <v>15.087254</v>
      </c>
      <c r="I39" s="347">
        <f>I38*D39/1000</f>
        <v>42.360500000000002</v>
      </c>
      <c r="J39" s="347">
        <f>+K39+L39</f>
        <v>41.920151200000006</v>
      </c>
      <c r="K39" s="347">
        <f>H33*0.45+H39*0.55</f>
        <v>10.9799258</v>
      </c>
      <c r="L39" s="347">
        <f>+I33*0.45+I39*0.55</f>
        <v>30.940225400000003</v>
      </c>
    </row>
    <row r="40" spans="2:20">
      <c r="B40" s="427"/>
      <c r="C40" s="365" t="s">
        <v>359</v>
      </c>
      <c r="D40" s="398"/>
      <c r="E40" s="395"/>
      <c r="F40" s="368" t="s">
        <v>361</v>
      </c>
      <c r="G40" s="389"/>
      <c r="H40" s="390"/>
      <c r="I40" s="390"/>
      <c r="J40" s="390" t="s">
        <v>323</v>
      </c>
      <c r="K40" s="390"/>
      <c r="L40" s="390"/>
      <c r="O40" s="319"/>
      <c r="S40" s="319"/>
      <c r="T40" s="319"/>
    </row>
    <row r="41" spans="2:20" ht="15.75" thickBot="1">
      <c r="B41" s="427"/>
      <c r="C41" s="369"/>
      <c r="D41" s="399"/>
      <c r="E41" s="396"/>
      <c r="F41" s="372" t="s">
        <v>362</v>
      </c>
      <c r="G41" s="346">
        <f>G40*D40/1000</f>
        <v>0</v>
      </c>
      <c r="H41" s="346"/>
      <c r="I41" s="346"/>
      <c r="J41" s="397">
        <f>SUM(G35*45%)+(G41*55%)</f>
        <v>0</v>
      </c>
      <c r="K41" s="346"/>
      <c r="L41" s="346"/>
    </row>
    <row r="42" spans="2:20">
      <c r="B42" s="427"/>
      <c r="C42" s="365" t="s">
        <v>374</v>
      </c>
      <c r="D42" s="398">
        <f>+D38</f>
        <v>15.97</v>
      </c>
      <c r="E42" s="395"/>
      <c r="F42" s="368" t="s">
        <v>361</v>
      </c>
      <c r="G42" s="326">
        <f>+H42+I42</f>
        <v>803</v>
      </c>
      <c r="H42" s="390"/>
      <c r="I42" s="326">
        <v>803</v>
      </c>
      <c r="J42" s="390" t="s">
        <v>323</v>
      </c>
      <c r="K42" s="390"/>
      <c r="L42" s="390"/>
      <c r="O42" s="319"/>
      <c r="S42" s="319"/>
      <c r="T42" s="319"/>
    </row>
    <row r="43" spans="2:20" ht="15.75" thickBot="1">
      <c r="B43" s="427"/>
      <c r="C43" s="369"/>
      <c r="D43" s="399">
        <f>+D39</f>
        <v>17.29</v>
      </c>
      <c r="E43" s="396"/>
      <c r="F43" s="372" t="s">
        <v>362</v>
      </c>
      <c r="G43" s="346">
        <f>G42*D43/1000</f>
        <v>13.883869999999998</v>
      </c>
      <c r="H43" s="346"/>
      <c r="I43" s="346">
        <f>+I42*D43/1000</f>
        <v>13.883869999999998</v>
      </c>
      <c r="J43" s="403">
        <f>+K43+L43</f>
        <v>7.6361284999999999</v>
      </c>
      <c r="K43" s="346"/>
      <c r="L43" s="346">
        <f>+I43*0.55</f>
        <v>7.6361284999999999</v>
      </c>
    </row>
    <row r="44" spans="2:20">
      <c r="B44" s="427"/>
      <c r="C44" s="365" t="s">
        <v>220</v>
      </c>
      <c r="D44" s="366"/>
      <c r="E44" s="367"/>
      <c r="F44" s="368" t="s">
        <v>361</v>
      </c>
      <c r="G44" s="359">
        <f>+SUM(G38,G40,G42)</f>
        <v>4125.6000000000004</v>
      </c>
      <c r="H44" s="359">
        <f>+SUM(H38,H40,H42)</f>
        <v>872.6</v>
      </c>
      <c r="I44" s="359">
        <f>+SUM(I38,I40,I42)</f>
        <v>3253</v>
      </c>
      <c r="J44" s="391" t="s">
        <v>323</v>
      </c>
      <c r="K44" s="391"/>
      <c r="L44" s="391"/>
    </row>
    <row r="45" spans="2:20" ht="15.75" thickBot="1">
      <c r="B45" s="428"/>
      <c r="C45" s="373"/>
      <c r="D45" s="376"/>
      <c r="E45" s="374"/>
      <c r="F45" s="377" t="s">
        <v>367</v>
      </c>
      <c r="G45" s="363">
        <f>+G39+G41+G43</f>
        <v>71.331623999999991</v>
      </c>
      <c r="H45" s="364">
        <f>H39+H41+H43</f>
        <v>15.087254</v>
      </c>
      <c r="I45" s="364">
        <f>I39+I41+I43</f>
        <v>56.244370000000004</v>
      </c>
      <c r="J45" s="364">
        <f>J39+J41+J43</f>
        <v>49.556279700000005</v>
      </c>
      <c r="K45" s="364">
        <f>K39+K41+K43</f>
        <v>10.9799258</v>
      </c>
      <c r="L45" s="364">
        <f>L39+L41+L43</f>
        <v>38.576353900000001</v>
      </c>
    </row>
    <row r="46" spans="2:20" ht="15.75" thickBot="1">
      <c r="B46" s="424" t="s">
        <v>375</v>
      </c>
      <c r="C46" s="378" t="s">
        <v>364</v>
      </c>
      <c r="D46" s="404">
        <v>18</v>
      </c>
      <c r="E46" s="380" t="s">
        <v>365</v>
      </c>
      <c r="F46" s="381" t="s">
        <v>361</v>
      </c>
      <c r="G46" s="326">
        <f>+I46+H46</f>
        <v>3337</v>
      </c>
      <c r="H46" s="326">
        <v>887</v>
      </c>
      <c r="I46" s="326">
        <f>2471-21</f>
        <v>2450</v>
      </c>
      <c r="J46" s="390" t="s">
        <v>323</v>
      </c>
      <c r="K46" s="390"/>
      <c r="L46" s="390"/>
      <c r="O46" s="319"/>
      <c r="P46" s="319"/>
      <c r="Q46" s="319"/>
      <c r="R46" s="319"/>
      <c r="S46" s="319"/>
      <c r="T46" s="319"/>
    </row>
    <row r="47" spans="2:20" ht="15.75" thickBot="1">
      <c r="B47" s="424"/>
      <c r="C47" s="382"/>
      <c r="D47" s="383">
        <f>+D46*1.02^4</f>
        <v>19.483778879999999</v>
      </c>
      <c r="E47" s="384" t="s">
        <v>371</v>
      </c>
      <c r="F47" s="385" t="s">
        <v>367</v>
      </c>
      <c r="G47" s="346">
        <f>G46*D47/1000</f>
        <v>65.017370122559996</v>
      </c>
      <c r="H47" s="347">
        <f>H46*D47/1000</f>
        <v>17.282111866560001</v>
      </c>
      <c r="I47" s="347">
        <f>I46*D47/1000</f>
        <v>47.735258256000002</v>
      </c>
      <c r="J47" s="347">
        <f>SUM(K47:L47)</f>
        <v>61.611042867408003</v>
      </c>
      <c r="K47" s="347">
        <f>H39*0.45+H47*0.55</f>
        <v>16.294425826608002</v>
      </c>
      <c r="L47" s="347">
        <f>+I39*0.45+I47*0.55</f>
        <v>45.316617040800004</v>
      </c>
    </row>
    <row r="48" spans="2:20" ht="15.75" thickBot="1">
      <c r="B48" s="424"/>
      <c r="C48" s="378" t="s">
        <v>359</v>
      </c>
      <c r="D48" s="404"/>
      <c r="E48" s="380"/>
      <c r="F48" s="381" t="s">
        <v>361</v>
      </c>
      <c r="G48" s="389"/>
      <c r="H48" s="390"/>
      <c r="I48" s="390"/>
      <c r="J48" s="400"/>
      <c r="K48" s="390"/>
      <c r="L48" s="390"/>
    </row>
    <row r="49" spans="2:12" ht="15.75" thickBot="1">
      <c r="B49" s="424"/>
      <c r="C49" s="382"/>
      <c r="D49" s="383"/>
      <c r="E49" s="384"/>
      <c r="F49" s="385" t="s">
        <v>367</v>
      </c>
      <c r="G49" s="346"/>
      <c r="H49" s="346"/>
      <c r="I49" s="346"/>
      <c r="J49" s="397"/>
      <c r="K49" s="346"/>
      <c r="L49" s="346"/>
    </row>
    <row r="50" spans="2:12" ht="15.75" thickBot="1">
      <c r="B50" s="424"/>
      <c r="C50" s="378" t="s">
        <v>374</v>
      </c>
      <c r="D50" s="404">
        <f>+D38</f>
        <v>15.97</v>
      </c>
      <c r="E50" s="380" t="s">
        <v>365</v>
      </c>
      <c r="F50" s="381" t="s">
        <v>361</v>
      </c>
      <c r="G50" s="326">
        <f>+I50+H50</f>
        <v>803</v>
      </c>
      <c r="H50" s="326"/>
      <c r="I50" s="326">
        <v>803</v>
      </c>
      <c r="J50" s="400"/>
      <c r="K50" s="390"/>
      <c r="L50" s="390"/>
    </row>
    <row r="51" spans="2:12" ht="15.75" thickBot="1">
      <c r="B51" s="424"/>
      <c r="C51" s="382"/>
      <c r="D51" s="383">
        <v>17.63</v>
      </c>
      <c r="E51" s="384" t="s">
        <v>371</v>
      </c>
      <c r="F51" s="385" t="s">
        <v>367</v>
      </c>
      <c r="G51" s="346">
        <f>G50*D51/1000</f>
        <v>14.156889999999999</v>
      </c>
      <c r="H51" s="346"/>
      <c r="I51" s="346">
        <f>+I50*D51/1000</f>
        <v>14.156889999999999</v>
      </c>
      <c r="J51" s="347">
        <f>SUM(K51:L51)</f>
        <v>14.034030999999999</v>
      </c>
      <c r="K51" s="347"/>
      <c r="L51" s="347">
        <f>+I51*0.55+I43*0.45</f>
        <v>14.034030999999999</v>
      </c>
    </row>
    <row r="52" spans="2:12" ht="15.75" thickBot="1">
      <c r="B52" s="424"/>
      <c r="C52" s="378" t="s">
        <v>376</v>
      </c>
      <c r="D52" s="404">
        <f>+D46</f>
        <v>18</v>
      </c>
      <c r="E52" s="380" t="s">
        <v>365</v>
      </c>
      <c r="F52" s="381" t="s">
        <v>361</v>
      </c>
      <c r="G52" s="326">
        <f>+I52+H52</f>
        <v>24</v>
      </c>
      <c r="H52" s="326">
        <v>3</v>
      </c>
      <c r="I52" s="326">
        <v>21</v>
      </c>
      <c r="J52" s="400"/>
      <c r="K52" s="390"/>
      <c r="L52" s="390"/>
    </row>
    <row r="53" spans="2:12" ht="15.75" thickBot="1">
      <c r="B53" s="424"/>
      <c r="C53" s="382"/>
      <c r="D53" s="383">
        <f>+D47</f>
        <v>19.483778879999999</v>
      </c>
      <c r="E53" s="384" t="s">
        <v>371</v>
      </c>
      <c r="F53" s="385" t="s">
        <v>367</v>
      </c>
      <c r="G53" s="346">
        <f>G52*D53/1000</f>
        <v>0.46761069311999998</v>
      </c>
      <c r="H53" s="346">
        <f>+H52*D53/1000</f>
        <v>5.8451336639999997E-2</v>
      </c>
      <c r="I53" s="346">
        <f>+I52*D53/1000</f>
        <v>0.40915935647999996</v>
      </c>
      <c r="J53" s="347">
        <f>SUM(K53:L53)</f>
        <v>0.257185881216</v>
      </c>
      <c r="K53" s="347">
        <f>+H53*0.55</f>
        <v>3.2148235152E-2</v>
      </c>
      <c r="L53" s="347">
        <f>+I53*0.55</f>
        <v>0.22503764606400001</v>
      </c>
    </row>
    <row r="54" spans="2:12" ht="15.75" thickBot="1">
      <c r="B54" s="424"/>
      <c r="C54" s="378" t="s">
        <v>220</v>
      </c>
      <c r="D54" s="379"/>
      <c r="E54" s="380"/>
      <c r="F54" s="381" t="s">
        <v>361</v>
      </c>
      <c r="G54" s="359">
        <f>+G46+G50+G52+G48</f>
        <v>4164</v>
      </c>
      <c r="H54" s="359">
        <f>+H46+H50+H52+H48</f>
        <v>890</v>
      </c>
      <c r="I54" s="359">
        <f>+I46+I50+I52+I48</f>
        <v>3274</v>
      </c>
      <c r="J54" s="391" t="s">
        <v>323</v>
      </c>
      <c r="K54" s="391"/>
      <c r="L54" s="391"/>
    </row>
    <row r="55" spans="2:12" ht="15.75" thickBot="1">
      <c r="B55" s="425"/>
      <c r="C55" s="382"/>
      <c r="D55" s="383"/>
      <c r="E55" s="402"/>
      <c r="F55" s="385" t="s">
        <v>367</v>
      </c>
      <c r="G55" s="363">
        <f t="shared" ref="G55:L55" si="0">+G47+G49+G51+G53</f>
        <v>79.641870815679994</v>
      </c>
      <c r="H55" s="405">
        <f t="shared" si="0"/>
        <v>17.340563203200002</v>
      </c>
      <c r="I55" s="363">
        <f t="shared" si="0"/>
        <v>62.301307612479995</v>
      </c>
      <c r="J55" s="363">
        <f t="shared" si="0"/>
        <v>75.902259748624004</v>
      </c>
      <c r="K55" s="363">
        <f t="shared" si="0"/>
        <v>16.326574061760002</v>
      </c>
      <c r="L55" s="363">
        <f t="shared" si="0"/>
        <v>59.575685686864006</v>
      </c>
    </row>
    <row r="56" spans="2:12">
      <c r="B56" s="426" t="s">
        <v>377</v>
      </c>
      <c r="C56" s="365" t="s">
        <v>364</v>
      </c>
      <c r="D56" s="398"/>
      <c r="E56" s="395" t="s">
        <v>365</v>
      </c>
      <c r="F56" s="368" t="s">
        <v>361</v>
      </c>
      <c r="G56" s="340"/>
      <c r="H56" s="326"/>
      <c r="I56" s="326"/>
      <c r="J56" s="390" t="s">
        <v>323</v>
      </c>
      <c r="K56" s="390"/>
      <c r="L56" s="390"/>
    </row>
    <row r="57" spans="2:12" ht="15.75" thickBot="1">
      <c r="B57" s="427"/>
      <c r="C57" s="369"/>
      <c r="D57" s="399"/>
      <c r="E57" s="396" t="s">
        <v>371</v>
      </c>
      <c r="F57" s="372" t="s">
        <v>367</v>
      </c>
      <c r="G57" s="346">
        <f>+H57+I57</f>
        <v>0</v>
      </c>
      <c r="H57" s="347">
        <f>H56*D57/1000</f>
        <v>0</v>
      </c>
      <c r="I57" s="347">
        <f>I56*D57/1000</f>
        <v>0</v>
      </c>
      <c r="J57" s="347">
        <f>SUM(K57:L57)</f>
        <v>29.257816555152004</v>
      </c>
      <c r="K57" s="406">
        <f>H47*0.45+H57*0.55</f>
        <v>7.776950339952001</v>
      </c>
      <c r="L57" s="347">
        <f>+I47*0.45+I57*0.55</f>
        <v>21.480866215200003</v>
      </c>
    </row>
    <row r="58" spans="2:12">
      <c r="B58" s="427"/>
      <c r="C58" s="365" t="s">
        <v>359</v>
      </c>
      <c r="D58" s="398"/>
      <c r="E58" s="395"/>
      <c r="F58" s="368" t="s">
        <v>361</v>
      </c>
      <c r="G58" s="389"/>
      <c r="H58" s="390"/>
      <c r="I58" s="390"/>
      <c r="J58" s="390" t="s">
        <v>323</v>
      </c>
      <c r="K58" s="390"/>
      <c r="L58" s="390"/>
    </row>
    <row r="59" spans="2:12" ht="15.75" thickBot="1">
      <c r="B59" s="427"/>
      <c r="C59" s="369"/>
      <c r="D59" s="399"/>
      <c r="E59" s="396"/>
      <c r="F59" s="372" t="s">
        <v>362</v>
      </c>
      <c r="G59" s="346">
        <f>G58*D58/1000</f>
        <v>0</v>
      </c>
      <c r="H59" s="346"/>
      <c r="I59" s="346"/>
      <c r="J59" s="397">
        <f>SUM(G49*45%)+(G59*55%)</f>
        <v>0</v>
      </c>
      <c r="K59" s="346"/>
      <c r="L59" s="346"/>
    </row>
    <row r="60" spans="2:12">
      <c r="B60" s="427"/>
      <c r="C60" s="365" t="s">
        <v>374</v>
      </c>
      <c r="D60" s="398">
        <v>15.97</v>
      </c>
      <c r="E60" s="395"/>
      <c r="F60" s="368" t="s">
        <v>361</v>
      </c>
      <c r="G60" s="326">
        <f>+H60+I60</f>
        <v>803</v>
      </c>
      <c r="H60" s="326"/>
      <c r="I60" s="326">
        <v>803</v>
      </c>
      <c r="J60" s="390" t="s">
        <v>323</v>
      </c>
      <c r="K60" s="390"/>
      <c r="L60" s="390"/>
    </row>
    <row r="61" spans="2:12" ht="15.75" thickBot="1">
      <c r="B61" s="427"/>
      <c r="C61" s="369"/>
      <c r="D61" s="407">
        <f>+D60*1.02^6</f>
        <v>17.984813835646083</v>
      </c>
      <c r="E61" s="396"/>
      <c r="F61" s="372" t="s">
        <v>362</v>
      </c>
      <c r="G61" s="346">
        <f>+H61+I61</f>
        <v>14.441805510023805</v>
      </c>
      <c r="H61" s="346"/>
      <c r="I61" s="346">
        <f>+I60*D61/1000</f>
        <v>14.441805510023805</v>
      </c>
      <c r="J61" s="397">
        <f>SUM(K61:L61)</f>
        <v>14.313593530513092</v>
      </c>
      <c r="K61" s="346"/>
      <c r="L61" s="347">
        <f>+I51*0.45+I61*0.55</f>
        <v>14.313593530513092</v>
      </c>
    </row>
    <row r="62" spans="2:12">
      <c r="B62" s="427"/>
      <c r="C62" s="365" t="s">
        <v>376</v>
      </c>
      <c r="D62" s="398">
        <f>+D46</f>
        <v>18</v>
      </c>
      <c r="E62" s="395"/>
      <c r="F62" s="368" t="s">
        <v>361</v>
      </c>
      <c r="G62" s="326">
        <f>+H62+I62</f>
        <v>24</v>
      </c>
      <c r="H62" s="326">
        <v>3</v>
      </c>
      <c r="I62" s="326">
        <v>21</v>
      </c>
      <c r="J62" s="390" t="s">
        <v>323</v>
      </c>
      <c r="K62" s="390"/>
      <c r="L62" s="390"/>
    </row>
    <row r="63" spans="2:12" ht="15.75" thickBot="1">
      <c r="B63" s="427"/>
      <c r="C63" s="369"/>
      <c r="D63" s="407">
        <f>+D62*1.02^5</f>
        <v>19.873454457600001</v>
      </c>
      <c r="E63" s="396"/>
      <c r="F63" s="372" t="s">
        <v>362</v>
      </c>
      <c r="G63" s="346">
        <f>+H63+I63</f>
        <v>0.47696290698240001</v>
      </c>
      <c r="H63" s="346">
        <f>+H62*D63/1000</f>
        <v>5.9620363372800002E-2</v>
      </c>
      <c r="I63" s="346">
        <f>+I62*D63/1000</f>
        <v>0.41734254360959999</v>
      </c>
      <c r="J63" s="397">
        <f>SUM(K63:L63)</f>
        <v>0.47275441074431995</v>
      </c>
      <c r="K63" s="346">
        <f>+H63*0.55+H53*0.45</f>
        <v>5.9094301343040001E-2</v>
      </c>
      <c r="L63" s="347">
        <f>+I63*0.55+I53*0.45</f>
        <v>0.41366010940127995</v>
      </c>
    </row>
    <row r="64" spans="2:12">
      <c r="B64" s="427"/>
      <c r="C64" s="365" t="s">
        <v>220</v>
      </c>
      <c r="D64" s="366"/>
      <c r="E64" s="367"/>
      <c r="F64" s="368" t="s">
        <v>361</v>
      </c>
      <c r="G64" s="359">
        <f>+G62+G60+G58+G56</f>
        <v>827</v>
      </c>
      <c r="H64" s="359">
        <f>+H62+H60+H58+H56</f>
        <v>3</v>
      </c>
      <c r="I64" s="359">
        <f>+I62+I60+I58+I56</f>
        <v>824</v>
      </c>
      <c r="J64" s="391" t="s">
        <v>323</v>
      </c>
      <c r="K64" s="391"/>
      <c r="L64" s="391"/>
    </row>
    <row r="65" spans="1:12" ht="15.75" thickBot="1">
      <c r="B65" s="428"/>
      <c r="C65" s="373"/>
      <c r="D65" s="376"/>
      <c r="E65" s="374"/>
      <c r="F65" s="377" t="s">
        <v>367</v>
      </c>
      <c r="G65" s="363">
        <f t="shared" ref="G65:L65" si="1">+G57+G59+G61+G63</f>
        <v>14.918768417006206</v>
      </c>
      <c r="H65" s="408">
        <f t="shared" si="1"/>
        <v>5.9620363372800002E-2</v>
      </c>
      <c r="I65" s="409">
        <f t="shared" si="1"/>
        <v>14.859148053633405</v>
      </c>
      <c r="J65" s="409">
        <f t="shared" si="1"/>
        <v>44.044164496409415</v>
      </c>
      <c r="K65" s="409">
        <f t="shared" si="1"/>
        <v>7.8360446412950413</v>
      </c>
      <c r="L65" s="409">
        <f t="shared" si="1"/>
        <v>36.208119855114376</v>
      </c>
    </row>
    <row r="66" spans="1:12">
      <c r="E66" s="315"/>
      <c r="G66" s="315"/>
      <c r="H66" s="410"/>
      <c r="I66" s="410"/>
      <c r="J66" s="410"/>
      <c r="K66" s="410"/>
      <c r="L66" s="410"/>
    </row>
    <row r="67" spans="1:12">
      <c r="B67" s="319"/>
      <c r="C67" s="319"/>
      <c r="D67" s="319"/>
      <c r="E67" s="319"/>
      <c r="F67" s="319"/>
      <c r="G67" s="410"/>
      <c r="H67" s="410"/>
      <c r="I67" s="410"/>
      <c r="J67" s="410"/>
      <c r="K67" s="410"/>
      <c r="L67" s="410"/>
    </row>
    <row r="68" spans="1:12">
      <c r="B68" s="411" t="s">
        <v>117</v>
      </c>
    </row>
    <row r="69" spans="1:12">
      <c r="A69" s="315">
        <v>1</v>
      </c>
      <c r="B69" s="412" t="s">
        <v>118</v>
      </c>
      <c r="C69" s="412"/>
      <c r="D69" s="412"/>
      <c r="F69" s="412"/>
    </row>
    <row r="70" spans="1:12">
      <c r="A70" s="315">
        <f t="shared" ref="A70:A78" si="2">+A69+1</f>
        <v>2</v>
      </c>
      <c r="B70" s="412" t="s">
        <v>378</v>
      </c>
      <c r="C70" s="412"/>
      <c r="D70" s="412"/>
      <c r="F70" s="412"/>
    </row>
    <row r="71" spans="1:12">
      <c r="A71" s="315">
        <f t="shared" si="2"/>
        <v>3</v>
      </c>
      <c r="B71" s="412" t="s">
        <v>379</v>
      </c>
      <c r="C71" s="412"/>
      <c r="D71" s="412"/>
      <c r="F71" s="412"/>
    </row>
    <row r="72" spans="1:12">
      <c r="A72" s="315">
        <f t="shared" si="2"/>
        <v>4</v>
      </c>
      <c r="B72" s="412" t="s">
        <v>380</v>
      </c>
      <c r="C72" s="412"/>
      <c r="D72" s="412"/>
      <c r="F72" s="412"/>
    </row>
    <row r="73" spans="1:12">
      <c r="A73" s="315">
        <f t="shared" si="2"/>
        <v>5</v>
      </c>
      <c r="B73" s="412" t="s">
        <v>381</v>
      </c>
      <c r="C73" s="412"/>
      <c r="D73" s="412"/>
      <c r="F73" s="412"/>
    </row>
    <row r="74" spans="1:12">
      <c r="A74" s="315">
        <f t="shared" si="2"/>
        <v>6</v>
      </c>
      <c r="B74" s="412" t="s">
        <v>382</v>
      </c>
    </row>
    <row r="75" spans="1:12">
      <c r="A75" s="315">
        <f t="shared" si="2"/>
        <v>7</v>
      </c>
      <c r="B75" s="412" t="s">
        <v>383</v>
      </c>
    </row>
    <row r="76" spans="1:12">
      <c r="A76" s="315">
        <f t="shared" si="2"/>
        <v>8</v>
      </c>
      <c r="B76" s="412" t="s">
        <v>384</v>
      </c>
    </row>
    <row r="77" spans="1:12">
      <c r="A77" s="315">
        <f t="shared" si="2"/>
        <v>9</v>
      </c>
      <c r="B77" s="412" t="s">
        <v>385</v>
      </c>
    </row>
    <row r="78" spans="1:12">
      <c r="A78" s="315">
        <f t="shared" si="2"/>
        <v>10</v>
      </c>
      <c r="B78" s="412" t="s">
        <v>386</v>
      </c>
    </row>
    <row r="79" spans="1:12" ht="17.25" customHeight="1"/>
  </sheetData>
  <mergeCells count="8">
    <mergeCell ref="B46:B55"/>
    <mergeCell ref="B56:B65"/>
    <mergeCell ref="B8:B13"/>
    <mergeCell ref="B14:B19"/>
    <mergeCell ref="B20:B25"/>
    <mergeCell ref="B26:B31"/>
    <mergeCell ref="B32:B37"/>
    <mergeCell ref="B38:B45"/>
  </mergeCells>
  <pageMargins left="0.7" right="0.7" top="0.75" bottom="0.75" header="0.3" footer="0.3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CB574C9502C343810184915A576AA4" ma:contentTypeVersion="12" ma:contentTypeDescription="Create a new document." ma:contentTypeScope="" ma:versionID="7c26237e6ae2dd2beafbbe9e915dacde">
  <xsd:schema xmlns:xsd="http://www.w3.org/2001/XMLSchema" xmlns:xs="http://www.w3.org/2001/XMLSchema" xmlns:p="http://schemas.microsoft.com/office/2006/metadata/properties" xmlns:ns2="49146ab5-f8c2-4167-897a-b95212cd3ef8" xmlns:ns3="1e681c64-5c0d-4c79-90c7-e6ea057e8181" targetNamespace="http://schemas.microsoft.com/office/2006/metadata/properties" ma:root="true" ma:fieldsID="430ae7df0143d2665ea9a254a83186d5" ns2:_="" ns3:_="">
    <xsd:import namespace="49146ab5-f8c2-4167-897a-b95212cd3ef8"/>
    <xsd:import namespace="1e681c64-5c0d-4c79-90c7-e6ea057e81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46ab5-f8c2-4167-897a-b95212cd3e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681c64-5c0d-4c79-90c7-e6ea057e818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8E6D4D-4752-45D6-A8FC-BB7BC3DC3ECB}">
  <ds:schemaRefs>
    <ds:schemaRef ds:uri="1e681c64-5c0d-4c79-90c7-e6ea057e8181"/>
    <ds:schemaRef ds:uri="http://purl.org/dc/terms/"/>
    <ds:schemaRef ds:uri="49146ab5-f8c2-4167-897a-b95212cd3ef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4B051B-F916-4CEC-867B-5783747CB8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CF5FAA-F40C-4300-B37B-34427311AD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146ab5-f8c2-4167-897a-b95212cd3ef8"/>
    <ds:schemaRef ds:uri="1e681c64-5c0d-4c79-90c7-e6ea057e81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Wind (MW)</vt:lpstr>
      <vt:lpstr>Hydro (MW)</vt:lpstr>
      <vt:lpstr>Output (GWh)</vt:lpstr>
      <vt:lpstr>Pipeline (MW)</vt:lpstr>
      <vt:lpstr>Load Factor test won't publish</vt:lpstr>
      <vt:lpstr>GB Cap Mech Payments (£m)</vt:lpstr>
      <vt:lpstr>'GB Cap Mech Payments (£m)'!Print_Area</vt:lpstr>
      <vt:lpstr>'Hydro (MW)'!Print_Area</vt:lpstr>
      <vt:lpstr>'Load Factor test won''t publish'!Print_Area</vt:lpstr>
      <vt:lpstr>'Output (GWh)'!Print_Area</vt:lpstr>
      <vt:lpstr>'Pipeline (MW)'!Print_Area</vt:lpstr>
      <vt:lpstr>'Wind (MW)'!Print_Area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Fitzpatrick, Nicholas</dc:creator>
  <cp:keywords/>
  <dc:description/>
  <cp:lastModifiedBy>Hall, Marlon</cp:lastModifiedBy>
  <cp:revision/>
  <dcterms:created xsi:type="dcterms:W3CDTF">2019-09-27T15:28:32Z</dcterms:created>
  <dcterms:modified xsi:type="dcterms:W3CDTF">2021-05-25T10:38:35Z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0x010100ABCB574C9502C343810184915A576AA4</vt:lpwstr>
  </property>
</Properties>
</file>